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UARIO\Desktop\Alcaldía 2025\Alcaldía 2024\PDM\PLAN DE ACCIÓN\Diciembre\"/>
    </mc:Choice>
  </mc:AlternateContent>
  <xr:revisionPtr revIDLastSave="0" documentId="8_{15137A83-078B-45BB-B5B6-EC1D3FC15A70}" xr6:coauthVersionLast="36" xr6:coauthVersionMax="36" xr10:uidLastSave="{00000000-0000-0000-0000-000000000000}"/>
  <bookViews>
    <workbookView xWindow="0" yWindow="0" windowWidth="20490" windowHeight="6585" xr2:uid="{00000000-000D-0000-FFFF-FFFF00000000}"/>
  </bookViews>
  <sheets>
    <sheet name="Plan de Accion" sheetId="1" r:id="rId1"/>
  </sheets>
  <externalReferences>
    <externalReference r:id="rId2"/>
  </externalReferences>
  <definedNames>
    <definedName name="_xlnm._FilterDatabase" localSheetId="0" hidden="1">'Plan de Accion'!$A$10:$BJ$10</definedName>
    <definedName name="PA">'Plan de Accion'!$A$9:$BJ$30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5" i="1" l="1"/>
  <c r="U15" i="1"/>
  <c r="BE25" i="1"/>
  <c r="BE12" i="1" l="1"/>
  <c r="BE13" i="1"/>
  <c r="BE14" i="1"/>
  <c r="BE15" i="1"/>
  <c r="BE16" i="1"/>
  <c r="BE17" i="1"/>
  <c r="BE18" i="1"/>
  <c r="BE19" i="1"/>
  <c r="BE20" i="1"/>
  <c r="BE21" i="1"/>
  <c r="BE22" i="1"/>
  <c r="BE23" i="1"/>
  <c r="BE24" i="1"/>
  <c r="BE27" i="1"/>
  <c r="BE28" i="1"/>
  <c r="BE29" i="1"/>
  <c r="BE30" i="1"/>
  <c r="BC12" i="1"/>
  <c r="BC13" i="1"/>
  <c r="BC14" i="1"/>
  <c r="BC15" i="1"/>
  <c r="BC16" i="1"/>
  <c r="BC17" i="1"/>
  <c r="BC18" i="1"/>
  <c r="BC19" i="1"/>
  <c r="BC20" i="1"/>
  <c r="BC21" i="1"/>
  <c r="BC22" i="1"/>
  <c r="BC24" i="1"/>
  <c r="BC25" i="1"/>
  <c r="BC26" i="1"/>
  <c r="BC27" i="1"/>
  <c r="BC28" i="1"/>
  <c r="BC29" i="1"/>
  <c r="BC30" i="1"/>
  <c r="Z16" i="1"/>
  <c r="AN16" i="1" s="1"/>
  <c r="Z17" i="1"/>
  <c r="AN17" i="1" s="1"/>
  <c r="Z18" i="1"/>
  <c r="AN18" i="1" s="1"/>
  <c r="Z19" i="1"/>
  <c r="AN19" i="1" s="1"/>
  <c r="Z20" i="1"/>
  <c r="AN20" i="1" s="1"/>
  <c r="Z21" i="1"/>
  <c r="AN21" i="1" s="1"/>
  <c r="Z22" i="1"/>
  <c r="AN22" i="1" s="1"/>
  <c r="Z23" i="1"/>
  <c r="AN23" i="1" s="1"/>
  <c r="Z24" i="1"/>
  <c r="AN24" i="1" s="1"/>
  <c r="Z25" i="1"/>
  <c r="AN25" i="1" s="1"/>
  <c r="Z26" i="1"/>
  <c r="AN26" i="1" s="1"/>
  <c r="Z27" i="1"/>
  <c r="AN27" i="1" s="1"/>
  <c r="Z28" i="1"/>
  <c r="AN28" i="1" s="1"/>
  <c r="Z29" i="1"/>
  <c r="AN29" i="1" s="1"/>
  <c r="Z30" i="1"/>
  <c r="AN30" i="1" s="1"/>
  <c r="Z11" i="1"/>
  <c r="Z12" i="1"/>
  <c r="AN12" i="1" s="1"/>
  <c r="Z13" i="1"/>
  <c r="AN13" i="1" s="1"/>
  <c r="Z15" i="1"/>
  <c r="AN15" i="1" s="1"/>
  <c r="BD27" i="1" l="1"/>
  <c r="BD19" i="1"/>
  <c r="BD18" i="1"/>
  <c r="BD24" i="1"/>
  <c r="BD30" i="1"/>
  <c r="BD17" i="1"/>
  <c r="BD26" i="1"/>
  <c r="BD28" i="1"/>
  <c r="BD21" i="1"/>
  <c r="BD13" i="1"/>
  <c r="BD29" i="1"/>
  <c r="BD20" i="1"/>
  <c r="BD12" i="1"/>
  <c r="BD15" i="1"/>
  <c r="BD22" i="1"/>
  <c r="BD25" i="1"/>
  <c r="BD16" i="1"/>
  <c r="Z14" i="1"/>
  <c r="AN14" i="1" s="1"/>
  <c r="BD14" i="1" s="1"/>
  <c r="AP31" i="1" l="1"/>
  <c r="AQ31" i="1"/>
  <c r="AR31" i="1"/>
  <c r="AS31" i="1"/>
  <c r="AT31" i="1"/>
  <c r="AU31" i="1"/>
  <c r="AV31" i="1"/>
  <c r="AW31" i="1"/>
  <c r="AX31" i="1"/>
  <c r="AY31" i="1"/>
  <c r="AZ31" i="1"/>
  <c r="BA31" i="1"/>
  <c r="BB31" i="1"/>
  <c r="BE11" i="1"/>
  <c r="U31" i="1"/>
  <c r="V31" i="1"/>
  <c r="W31" i="1"/>
  <c r="X31" i="1"/>
  <c r="Y31" i="1"/>
  <c r="Z31" i="1"/>
  <c r="AA31" i="1"/>
  <c r="AB31" i="1"/>
  <c r="AC31" i="1"/>
  <c r="AD31" i="1"/>
  <c r="AE31" i="1"/>
  <c r="AF31" i="1"/>
  <c r="AG31" i="1"/>
  <c r="AH31" i="1"/>
  <c r="AI31" i="1"/>
  <c r="AJ31" i="1"/>
  <c r="AK31" i="1"/>
  <c r="AL31" i="1"/>
  <c r="AM31" i="1"/>
  <c r="T31" i="1"/>
  <c r="P27" i="1"/>
  <c r="Q27" i="1"/>
  <c r="P12" i="1" l="1"/>
  <c r="P14" i="1"/>
  <c r="P15" i="1"/>
  <c r="P16" i="1"/>
  <c r="P18" i="1"/>
  <c r="P19" i="1"/>
  <c r="P20" i="1"/>
  <c r="P21" i="1"/>
  <c r="P24" i="1"/>
  <c r="P25" i="1"/>
  <c r="P26" i="1"/>
  <c r="P28" i="1"/>
  <c r="P29" i="1"/>
  <c r="P30" i="1"/>
  <c r="P11" i="1"/>
  <c r="BC11" i="1"/>
  <c r="AN11" i="1"/>
  <c r="AN31" i="1" s="1"/>
  <c r="Q11" i="1"/>
  <c r="Q12" i="1"/>
  <c r="Q14" i="1"/>
  <c r="Q15" i="1"/>
  <c r="Q16" i="1"/>
  <c r="Q18" i="1"/>
  <c r="Q19" i="1"/>
  <c r="Q20" i="1"/>
  <c r="Q21" i="1"/>
  <c r="Q24" i="1"/>
  <c r="Q25" i="1"/>
  <c r="Q26" i="1"/>
  <c r="Q28" i="1"/>
  <c r="Q29" i="1"/>
  <c r="Q30" i="1"/>
  <c r="BD11" i="1" l="1"/>
  <c r="BF31" i="1"/>
  <c r="BE26" i="1"/>
  <c r="BE31" i="1" s="1"/>
  <c r="AO31" i="1"/>
  <c r="BD23" i="1"/>
  <c r="BC31" i="1"/>
  <c r="BC23" i="1"/>
</calcChain>
</file>

<file path=xl/sharedStrings.xml><?xml version="1.0" encoding="utf-8"?>
<sst xmlns="http://schemas.openxmlformats.org/spreadsheetml/2006/main" count="328" uniqueCount="215">
  <si>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</si>
  <si>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</si>
  <si>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</si>
  <si>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</si>
  <si>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</si>
  <si>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</si>
  <si>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</si>
  <si>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</si>
  <si>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</si>
  <si>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</si>
  <si>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</si>
  <si>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</si>
  <si>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</si>
  <si>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</si>
  <si>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</si>
  <si>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</si>
  <si>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</si>
  <si>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</si>
  <si>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</si>
  <si>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</si>
  <si>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</si>
  <si>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</si>
  <si>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</si>
  <si>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</si>
  <si>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</si>
  <si>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</si>
  <si>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</si>
  <si>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</si>
  <si>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</si>
  <si>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</si>
  <si>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</si>
  <si>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</si>
  <si>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</si>
  <si>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</si>
  <si>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</si>
  <si>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</si>
  <si>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</si>
  <si>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</si>
  <si>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</si>
  <si>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</si>
  <si>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</si>
  <si>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</si>
  <si>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</si>
  <si>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</si>
  <si>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</si>
  <si>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</si>
  <si>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</si>
  <si>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</si>
  <si>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</si>
  <si>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</si>
  <si>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</si>
  <si>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</si>
  <si>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</si>
  <si>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</si>
  <si>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</si>
  <si>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</si>
  <si>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</si>
  <si>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</si>
  <si>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</si>
  <si>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</si>
  <si>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</si>
  <si>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</si>
  <si>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</si>
  <si>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</si>
  <si>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</si>
  <si>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</si>
  <si>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</si>
  <si>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</si>
  <si>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</si>
  <si>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</si>
  <si>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</si>
  <si>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</si>
  <si>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</si>
  <si>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</si>
  <si>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</si>
  <si>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</si>
  <si>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</si>
  <si>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</si>
  <si>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</si>
  <si>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</si>
  <si>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</si>
  <si>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</si>
  <si>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</si>
  <si>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</si>
  <si>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</si>
  <si>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</si>
  <si>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</si>
  <si>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</si>
  <si>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</si>
  <si>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</si>
  <si>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</si>
  <si>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</si>
  <si>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</si>
  <si>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</si>
  <si>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</si>
  <si>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</si>
  <si>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</si>
  <si>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</si>
  <si>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</si>
  <si>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</si>
  <si>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</si>
  <si>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</si>
  <si>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</si>
  <si>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</si>
  <si>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</si>
  <si>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</si>
  <si>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</si>
  <si>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</si>
  <si>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</si>
  <si>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</si>
  <si>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</si>
  <si>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</si>
  <si>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</si>
  <si>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</si>
  <si>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</si>
  <si>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</si>
  <si>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</si>
  <si>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</si>
  <si>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</si>
  <si>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</si>
  <si>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</si>
  <si>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</si>
  <si>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</si>
  <si>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</si>
  <si>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</si>
  <si>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</si>
  <si>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</si>
  <si>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</si>
  <si>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</si>
  <si>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</si>
  <si>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</si>
  <si>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</si>
  <si>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</si>
  <si>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</si>
  <si>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</si>
  <si>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Acumulativa</t>
  </si>
  <si>
    <t>No Acumulativa</t>
  </si>
  <si>
    <t>10, 11</t>
  </si>
  <si>
    <t>8, 11</t>
  </si>
  <si>
    <t>4, 10</t>
  </si>
  <si>
    <t>IMCT</t>
  </si>
  <si>
    <t>MAYLIN TATIANA JARAMILLO B.</t>
  </si>
  <si>
    <t>Desarrollo de agenda cultural, artística, turística y/o tradicional a través de la promoción de manifestaciones y actividades en la ciudad de Bucaramanga</t>
  </si>
  <si>
    <t>parque de los sueños, parque García Rovira, plaza galan, parque Santander, parque las palmas y parque san pio</t>
  </si>
  <si>
    <t xml:space="preserve"> niños, jóvenes y adultos</t>
  </si>
  <si>
    <t>61 personas atendidas en 4 recorridos durante octubre y 1330 personas impactadas en 15 actividades asociadas a la promoción de eventos de ciudad.</t>
  </si>
  <si>
    <t>SCOUNTING PARQUES DE LA CIUDAD PARA REALIZACION ACTIVACIONES DE CIUDAD NAVIDEÑAS
Identificación de 9 parque de la ciudad, en esta primera jornada realizada en octubre se visitaron las  locaciones para las actividades a desarrollar en estos parque es montaje de iluminación navideña con temática y montaje de escenarios con técnica en sonido, pantalla, tarima, estos escenarios contaran activaciones culturales tales como bailes, villancicos y muestras artísticas con danzas obras  techo, para activar la ciudad en época navideña.</t>
  </si>
  <si>
    <t>Desarrollo de eventos de promoción cultural, artística, gastronómica, turística, histórica y patrimonial en la ciudad de Bucaramanga</t>
  </si>
  <si>
    <t>17 comunas</t>
  </si>
  <si>
    <t>Desarrollo y Consolidación de la Estrategia Ciudad Región en el municipio de Bucaramanga</t>
  </si>
  <si>
    <t>14 comunas</t>
  </si>
  <si>
    <t>49 taxistas capacitados, 25 lideres y representantes comunales</t>
  </si>
  <si>
    <t>Divulgación y posicionamiento de las diferentes experiencias turísticas, culturales y patrimoniales para la apuesta de Bucaramanga como epicentro turístico en la ciudad de Bucaramanga</t>
  </si>
  <si>
    <t>Dentro de la gestión realizada por el equipo de la Subdirección de turismo se ha identificado una oportunidad de tener un nuevo punto de información turístico en la ciudad, el cual podría estar ubicado en el Distrito del calzado, para ello se están adelantando acciones para lograr la confirmación del espacio y las necesidades de adecuación. </t>
  </si>
  <si>
    <t>Apoyo a la promoción de las diferentes áreas artísticas y culturales en las líneas de creación, circulación, investigación, itinerancia, distribución y/o comercialización para los artistas y gestores culturales locales en Bucaramanga.</t>
  </si>
  <si>
    <t>17 comunas de Bucaramanga</t>
  </si>
  <si>
    <t>Fortalecimiento institucional del IMCT a través de la formulación de documentos de planificación en el sector cultural y turístico del municipio de Bucaramanga</t>
  </si>
  <si>
    <t>Apoyo al fomento y promoción de las habilidades de lectura, escritura y oralidad en la Biblioteca Gabriel Turbay e infraestructura cultural de la ciudad de Bucaramanga</t>
  </si>
  <si>
    <t>Fortalecimiento de los procesos que desarrolla la Escuela municipal de artes y oficios para la reconstrucción del tejido social y cultural de los ciudadanos del municipio de Bucaramanga</t>
  </si>
  <si>
    <t>Apoyo a la formación artistica y cultural dentro del marco de los prsupuestos participativos a la comunidad del Municipio de Bucaramanga</t>
  </si>
  <si>
    <t xml:space="preserve">Implementación de estrategias para la conservación y la salvaguarda del patrimonio cultural material e inmaterial en el municipio de Bucaramanga.  
</t>
  </si>
  <si>
    <t>Estación del tren-café Madrid, Casa Galán, Casa Luis Perú, Auditorio Luis A Calvo, Auditorio Pedro Gómez Valderrama, UDES, y Parque Turbay</t>
  </si>
  <si>
    <t>Niños, jovenes y adultos</t>
  </si>
  <si>
    <t xml:space="preserve">Implementación de estrategias para la conservación y la salvaguarda del patrimonio cultural material e inmaterial en el municipio de Bucaramanga.  </t>
  </si>
  <si>
    <t>Fortalecimiento para la promoción e intervención de los escenarios para los espectáculos públicos de las artes escénicas de la ciudad de
Bucaramanga</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</si>
  <si>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</si>
  <si>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</si>
  <si>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</si>
  <si>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Desarrollo de los beneficios económicos periódicos BEPS para el beneficio de los gestores y creadores  de la ciudad de Bucaramanga</t>
  </si>
  <si>
    <t>Gestores culturales de la tercera edad</t>
  </si>
  <si>
    <t>Vigencias expiradas</t>
  </si>
  <si>
    <t>79%</t>
  </si>
  <si>
    <t>Alrededor de 300.000 personas directas e indirectas. </t>
  </si>
  <si>
    <t>Realización de reuniones con las comunas y corregimientos  del evento del cumpleaños de Bucaramanga a realizarce el 20, 21 y 22 de diciembre del 2024</t>
  </si>
  <si>
    <t>49 taxistas y 25 lideres</t>
  </si>
  <si>
    <t>Talleres de Bilinguismos, cpacitación en formulación de proyectos</t>
  </si>
  <si>
    <t>Se realizó recorrido de la ruta de patrimonio y comercio que es adherente al punto de información turístico Imágenes:
del Centro Cultural del Oriente.</t>
  </si>
  <si>
    <t>niños, niñas, jovenes y adultos</t>
  </si>
  <si>
    <t>se dio apertura al circuito del distrito del calzado con la presencia de más de 50 personas y la orientación de los cuatro guías turísticos de los PITs.</t>
  </si>
  <si>
    <t>Capacitación sobre manual de funciones de los guías turísticos y atención al usuario</t>
  </si>
  <si>
    <t>Se realizó la capacitación a los cuatro guías turísticos sobre el manual de funciones y la correcta atención al usuario en los cuatro puntos físicos de la ciudad de Bucaramanga</t>
  </si>
  <si>
    <t>Jovenes y adultos</t>
  </si>
  <si>
    <t>CONVOCATORIA PÚBLICA DE ESTÍMULOS 2024: “CIRCULACIÓN LOCAL DE MUSICA NAVIDEÑA”</t>
  </si>
  <si>
    <t>85 personas de las 17 comunas</t>
  </si>
  <si>
    <t>73 gestores culturales</t>
  </si>
  <si>
    <t xml:space="preserve"> la fecha se cuenta con un listado enviado por el Ministerio de Cultura de 94 personas que fueron admitidas para la asignación de la anualidad vitalicia, a partir de la documentación revisada</t>
  </si>
  <si>
    <t xml:space="preserve">Elaboración de un pre diagnóstico para el centro fundacional </t>
  </si>
  <si>
    <t>Centro Fundacional</t>
  </si>
  <si>
    <t>Zona centro fundacional</t>
  </si>
  <si>
    <t>300 personas</t>
  </si>
  <si>
    <t xml:space="preserve">​​En el mes de Noviembre, se realizó 8.500, las cuales tenemos 4.728 mujeres,3.731 hombres, 1 intergénero, asistencias, en los cuales se muestra la población impactada de la siguiente manera; Primera infancia (0 a 5 años) 1649, Infancia (6 a 11 años) 3.173, Adolescente (12 a 17 años) 1.585, Jóvenes (18 a 28 años) 413, Adulto (29 a 59 años) 1.526, Adulto mayor (60 años en adelante) 155. Realizamos impacto de personas en el grupo étnico caracterizado de la siguiente manera: , Victimas del conflicto:0, Afrocolombiano, palenquero racial: 0Comunidad indígena: 2, Desempleado:11, , Extranjero:26, En situación de discapacidad:39  Pensionado:40 Cabeza de familia:140, Población centros carcelarios:174 , Menor infractor: 393, , Empleado:533, Otro: 1017, Estudiante:6.122​. </t>
  </si>
  <si>
    <t>Se implementó el servicio de Pasa libro, En las Bibliotecas Satélites se presta el servicio de Bucaro Pasalibro, donde el público accede al préstamo de libros. ​ Nuestra estrategia brinda la oportunidad al usuario pedir los libros y estos serán llevados a su residencia, por un tiempo de 15 días para los habitantes de Bucaramanga afiliados “Amigos de la Turbay</t>
  </si>
  <si>
    <t xml:space="preserve">17 comunas, </t>
  </si>
  <si>
    <t xml:space="preserve">
CDI-Construyendo Sueños  
Centro Penitenciario de Mujeres  
Corregimiento 1 Vereda Santarita 
Fundación FAMPAS 
Fundación Semillas de Ilusión 
I.E. Campo Hermoso 
I.E. Francisco de Paula Santander  
Casa de Justicia  
Centro Vida Barrio Álvarez  
Comunidad Terapéutica Nuevos Horizontes  
Corregimiento 1 Vereda villa luz  
Fundación Capaz 
Fundación Santa Rita 
Fundación Semillas de ilusión  
I.E. Café Madrid  
</t>
  </si>
  <si>
    <t xml:space="preserve">De forma directa, la EMA beneficio a 4,502 personas beneficiadas y de diversos grupos etarios (niños, juventudes, adulto mayor, adultos, mujeres, población afro, LGBTIQ+ etc.), presentando danza, teatro, plástica, y música en diferentes sitios de la ciudad y alrededores. Teatro Santander, Neomundo, en la Fundación Semillas de Ilusión, en la Casa de la Justicia la Juventud, en el Parque Centenario, en Cenfer, en Megamall, en la Concha Acústica.  
 </t>
  </si>
  <si>
    <t>Barrio la Joya y Jose antonio Galán</t>
  </si>
  <si>
    <t>Se realiza proceso de licitación pública para solicitar a posibles comparadores que se presenten</t>
  </si>
  <si>
    <t>Auditorio Pedro Gómez Valderrama</t>
  </si>
  <si>
    <t>Proceso de licitación pública para compra de implementos para acondicionar el auditorio</t>
  </si>
  <si>
    <t>Proceso de capacitación en procesos de convocatorias del programa de Fomento</t>
  </si>
  <si>
    <t>Consejeros de cultura</t>
  </si>
  <si>
    <t>Apertura de convocatoria pública para la compra de esquipo tecnológico para dotar el IMCT</t>
  </si>
  <si>
    <t>personal del IMCT</t>
  </si>
  <si>
    <t>Mujeres y hombres</t>
  </si>
  <si>
    <t xml:space="preserve">20 cursos en rural en 7 instituciones, Esta actividad se asoció dentro de la contratación a las siguientes personas que realizan talleres en las siguientes instituciones: 
Para lograr culminar la ejecución de los diferentes procesos de formación que desarrolla la EMA RURAL se realiza en el mes de noviembre adición en tiempo y dinero a algunas CPS. </t>
  </si>
  <si>
    <t>Se revisaron 10 documentos sobre aspectos técnicos y normativos para la constitución de los lineamientos para la elaboración del LIBIC. Se realizaron 4 recorridos por los parques del municipio para realizar el diagnostico de los monumentos en espacio público y una visita de campo para verificar el estado de la estatua denominada Sagrado Corazón de Jesús en el parque de Morrorico y se realizo un conversatorio sobre los caminos históricos del municipio el día 21 de noviembre..</t>
  </si>
  <si>
    <t>4 Barrios de Bucaramanga, Estatua  Sagrado Corazón de Jesús en el parque de Morroric</t>
  </si>
  <si>
    <t>15 personas en  el conversatorio</t>
  </si>
  <si>
    <t>Se realizaron clase abierta de dibujo, talleres de dibujo y expresión corporal, conversatorios y visitas guiadas, inaguracion artista ganadora de arte en circulación, inaguracion Comics en fuga de la gobernación de Santander, inaguaración EMA, conversatorio, clase de tiple y guitarra</t>
  </si>
  <si>
    <t>CASA MUSEO GALAN</t>
  </si>
  <si>
    <t>Estudiantes de la EMA</t>
  </si>
  <si>
    <t>estudiantes ema</t>
  </si>
  <si>
    <t>Pago de Instumentos musicales entrgados a la EMA</t>
  </si>
  <si>
    <t>Taller de Locución Radiofónica se busca desarrollar una metodología enfocada a la exploración de la voz con técnicas y ejercicios, para entrenarla para poder disponer de ella en la conducción de un programa de radio o un podcast.  Capacitación en dornes desde el IAC, y realización de publicidad desde el área de comunicaciones para dar a conocer todas laa actividades del IMCT.</t>
  </si>
  <si>
    <t>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</si>
</sst>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 #,##0.00;\-&quot;$&quot;\ #,##0.00"/>
    <numFmt numFmtId="44" formatCode="_-&quot;$&quot;\ * #,##0.00_-;\-&quot;$&quot;\ * #,##0.00_-;_-&quot;$&quot;\ * &quot;-&quot;??_-;_-@_-"/>
    <numFmt numFmtId="43" formatCode="_-* #,##0.00_-;\-* #,##0.00_-;_-* &quot;-&quot;??_-;_-@_-"/>
    <numFmt numFmtId="164" formatCode="&quot;$&quot;\ #,##0"/>
  </numFmts>
  <fonts count="16">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9"/>
      <color theme="1"/>
      <name val="Arial"/>
      <family val="2"/>
    </font>
    <font>
      <sz val="11"/>
      <color rgb="FF000000"/>
      <name val="Arial"/>
      <family val="2"/>
    </font>
    <font>
      <sz val="14"/>
      <color rgb="FF000000"/>
      <name val="Times New Roman"/>
      <family val="1"/>
    </font>
  </fonts>
  <fills count="5">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9" fontId="11" fillId="0" borderId="0" applyFont="0" applyFill="0" applyBorder="0" applyAlignment="0" applyProtection="0"/>
  </cellStyleXfs>
  <cellXfs count="102">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pplyProtection="1">
      <alignment horizontal="center" vertical="center" wrapText="1"/>
      <protection locked="0"/>
    </xf>
    <xf numFmtId="9" fontId="9" fillId="3" borderId="2" xfId="1" applyFont="1" applyFill="1" applyBorder="1" applyAlignment="1">
      <alignment horizontal="center" vertical="center" wrapText="1"/>
    </xf>
    <xf numFmtId="9" fontId="9" fillId="0" borderId="2" xfId="1" applyFont="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pplyProtection="1">
      <alignment horizontal="center" vertical="center"/>
      <protection locked="0"/>
    </xf>
    <xf numFmtId="9" fontId="9" fillId="0" borderId="1" xfId="1" applyFont="1" applyBorder="1" applyAlignment="1">
      <alignment horizontal="center" vertical="center"/>
    </xf>
    <xf numFmtId="44" fontId="9" fillId="0" borderId="1"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9" fontId="9" fillId="0" borderId="1" xfId="1" applyFont="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9" fontId="9" fillId="0" borderId="1" xfId="1" applyFont="1" applyFill="1" applyBorder="1" applyAlignment="1">
      <alignment horizontal="center" vertical="center"/>
    </xf>
    <xf numFmtId="44" fontId="9" fillId="0" borderId="1" xfId="0" applyNumberFormat="1" applyFont="1" applyFill="1" applyBorder="1" applyAlignment="1" applyProtection="1">
      <alignment horizontal="center" vertical="center"/>
      <protection locked="0"/>
    </xf>
    <xf numFmtId="1" fontId="9" fillId="0" borderId="2" xfId="0" applyNumberFormat="1" applyFont="1" applyBorder="1" applyAlignment="1" applyProtection="1">
      <alignment horizontal="center" vertical="center" wrapText="1"/>
      <protection locked="0"/>
    </xf>
    <xf numFmtId="1" fontId="2" fillId="0" borderId="0" xfId="0" applyNumberFormat="1" applyFont="1" applyAlignment="1">
      <alignment horizontal="center" vertical="center"/>
    </xf>
    <xf numFmtId="1" fontId="4" fillId="0" borderId="0" xfId="0" applyNumberFormat="1" applyFont="1" applyAlignment="1">
      <alignment vertical="center" wrapText="1"/>
    </xf>
    <xf numFmtId="1" fontId="5" fillId="2" borderId="3" xfId="0" applyNumberFormat="1" applyFont="1" applyFill="1" applyBorder="1" applyAlignment="1">
      <alignment horizontal="center" vertical="center" wrapText="1"/>
    </xf>
    <xf numFmtId="1" fontId="9" fillId="0" borderId="1" xfId="0" applyNumberFormat="1" applyFont="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protection locked="0"/>
    </xf>
    <xf numFmtId="1" fontId="9" fillId="0" borderId="1" xfId="0" applyNumberFormat="1"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 fontId="3" fillId="0" borderId="2"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4" fontId="2" fillId="0" borderId="0" xfId="0" applyNumberFormat="1" applyFont="1" applyAlignment="1">
      <alignment horizontal="center" vertical="center"/>
    </xf>
    <xf numFmtId="4" fontId="4" fillId="0" borderId="0" xfId="0" applyNumberFormat="1" applyFont="1" applyAlignment="1">
      <alignment vertical="center" wrapText="1"/>
    </xf>
    <xf numFmtId="4" fontId="5" fillId="2" borderId="3" xfId="0" applyNumberFormat="1" applyFont="1" applyFill="1" applyBorder="1" applyAlignment="1">
      <alignment horizontal="center" vertical="center" wrapText="1"/>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4" fontId="9"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protection locked="0"/>
    </xf>
    <xf numFmtId="7" fontId="9" fillId="0" borderId="2" xfId="0" applyNumberFormat="1" applyFont="1" applyBorder="1" applyAlignment="1">
      <alignment horizontal="center" vertical="center"/>
    </xf>
    <xf numFmtId="44" fontId="3" fillId="0" borderId="2"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wrapText="1"/>
      <protection locked="0"/>
    </xf>
    <xf numFmtId="164" fontId="9" fillId="0" borderId="2" xfId="0" applyNumberFormat="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9" fillId="0" borderId="2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4" fontId="9" fillId="0" borderId="23" xfId="0" applyNumberFormat="1" applyFont="1" applyFill="1" applyBorder="1" applyAlignment="1" applyProtection="1">
      <alignment horizontal="center" vertical="center"/>
      <protection locked="0"/>
    </xf>
    <xf numFmtId="9" fontId="9" fillId="0" borderId="23" xfId="0" applyNumberFormat="1" applyFont="1" applyFill="1" applyBorder="1" applyAlignment="1">
      <alignment horizontal="center" vertical="center"/>
    </xf>
    <xf numFmtId="43" fontId="9" fillId="0" borderId="23" xfId="0" applyNumberFormat="1" applyFont="1" applyFill="1" applyBorder="1" applyAlignment="1" applyProtection="1">
      <alignment horizontal="center" vertical="center"/>
      <protection locked="0"/>
    </xf>
    <xf numFmtId="4" fontId="9" fillId="4" borderId="23" xfId="0" applyNumberFormat="1" applyFont="1" applyFill="1" applyBorder="1" applyAlignment="1" applyProtection="1">
      <alignment horizontal="center" vertical="center"/>
      <protection locked="0"/>
    </xf>
    <xf numFmtId="9" fontId="9" fillId="4" borderId="23" xfId="0" applyNumberFormat="1" applyFont="1" applyFill="1" applyBorder="1" applyAlignment="1">
      <alignment horizontal="center" vertical="center"/>
    </xf>
    <xf numFmtId="164" fontId="9" fillId="4" borderId="23" xfId="0" applyNumberFormat="1" applyFont="1" applyFill="1" applyBorder="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xf>
    <xf numFmtId="0" fontId="2" fillId="0" borderId="1" xfId="0" applyFont="1" applyBorder="1" applyAlignment="1">
      <alignment horizontal="center" vertical="center"/>
    </xf>
    <xf numFmtId="2" fontId="8" fillId="0" borderId="7" xfId="0" applyNumberFormat="1" applyFont="1" applyBorder="1" applyAlignment="1">
      <alignment horizontal="center" vertical="center" wrapText="1"/>
    </xf>
    <xf numFmtId="2" fontId="8" fillId="0" borderId="0" xfId="0" applyNumberFormat="1" applyFont="1" applyAlignment="1">
      <alignment horizontal="center" vertical="center" wrapText="1"/>
    </xf>
    <xf numFmtId="2" fontId="8" fillId="0" borderId="13"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2">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4" formatCode="&quot;$&quot;\ #,##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64" formatCode="&quot;$&quot;\ #,##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pa/Desktop/LINA%20ARENAS/POAI/PLAN%20DE%20ACCI&#211;N/Oct%202024/PA%20IMCT%20OCTUBRE%20Nov%2013%20de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A IMCT OCTUBRE Nov 13 del 2024"/>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31" totalsRowCount="1" headerRowDxfId="127" dataDxfId="125" headerRowBorderDxfId="126" tableBorderDxfId="124">
  <autoFilter ref="A10:BJ30" xr:uid="{1AC076FA-804F-46D0-9604-6C2F6A4CE31D}"/>
  <tableColumns count="62">
    <tableColumn id="1" xr3:uid="{00000000-0010-0000-0000-000001000000}" name=" Consecutivo PDM" dataDxfId="123" totalsRowDxfId="61"/>
    <tableColumn id="2" xr3:uid="{00000000-0010-0000-0000-000002000000}" name="Linea Estratégica" dataDxfId="122" totalsRowDxfId="60"/>
    <tableColumn id="5" xr3:uid="{00000000-0010-0000-0000-000005000000}" name="Sector" dataDxfId="121" totalsRowDxfId="59"/>
    <tableColumn id="14" xr3:uid="{00000000-0010-0000-0000-00000E000000}" name="Cod. Programa" dataDxfId="120" totalsRowDxfId="58"/>
    <tableColumn id="15" xr3:uid="{00000000-0010-0000-0000-00000F000000}" name="Programa" dataDxfId="119" totalsRowDxfId="57"/>
    <tableColumn id="16" xr3:uid="{00000000-0010-0000-0000-000010000000}" name="Cod. de Producto" dataDxfId="118" totalsRowDxfId="56"/>
    <tableColumn id="17" xr3:uid="{00000000-0010-0000-0000-000011000000}" name="Meta de Producto" dataDxfId="117" totalsRowDxfId="55"/>
    <tableColumn id="18" xr3:uid="{00000000-0010-0000-0000-000012000000}" name="Cod. Indicador de Producto" dataDxfId="116" totalsRowDxfId="54"/>
    <tableColumn id="19" xr3:uid="{00000000-0010-0000-0000-000013000000}" name="Indicador de Producto" dataDxfId="115" totalsRowDxfId="53"/>
    <tableColumn id="20" xr3:uid="{00000000-0010-0000-0000-000014000000}" name="LÍnea Base" dataDxfId="114" totalsRowDxfId="52"/>
    <tableColumn id="21" xr3:uid="{00000000-0010-0000-0000-000015000000}" name="Unidad de Medida2" dataDxfId="113" totalsRowDxfId="51"/>
    <tableColumn id="22" xr3:uid="{00000000-0010-0000-0000-000016000000}" name="Tipo de Meta" dataDxfId="112" totalsRowDxfId="50"/>
    <tableColumn id="23" xr3:uid="{00000000-0010-0000-0000-000017000000}" name="Meta Programada Cuatrienio3" dataDxfId="111" totalsRowDxfId="49"/>
    <tableColumn id="24" xr3:uid="{00000000-0010-0000-0000-000018000000}" name="Meta Programada Vigencia" dataDxfId="110" totalsRowDxfId="48"/>
    <tableColumn id="25" xr3:uid="{00000000-0010-0000-0000-000019000000}" name="Meta Ejecutada Vigencia4" dataDxfId="109" totalsRowDxfId="47"/>
    <tableColumn id="26" xr3:uid="{00000000-0010-0000-0000-00001A000000}" name="Porcentaje Avance Vigencia" dataDxfId="108" totalsRowDxfId="46" dataCellStyle="Porcentaje">
      <calculatedColumnFormula>+Tabla1[[#This Row],[Meta Ejecutada Vigencia4]]/Tabla1[[#This Row],[Meta Programada Vigencia]]</calculatedColumnFormula>
    </tableColumn>
    <tableColumn id="27" xr3:uid="{00000000-0010-0000-0000-00001B000000}" name="Porcentaje Avance Cuatrienio" dataDxfId="107" totalsRowDxfId="45" dataCellStyle="Porcentaje">
      <calculatedColumnFormula>+Tabla1[[#This Row],[Meta Ejecutada Vigencia4]]/Tabla1[[#This Row],[Meta Programada Cuatrienio3]]</calculatedColumnFormula>
    </tableColumn>
    <tableColumn id="28" xr3:uid="{00000000-0010-0000-0000-00001C000000}" name="Código BPIN" dataDxfId="106" totalsRowDxfId="44"/>
    <tableColumn id="29" xr3:uid="{00000000-0010-0000-0000-00001D000000}" name="Nombre del Proyecto" dataDxfId="105" totalsRowDxfId="43"/>
    <tableColumn id="30" xr3:uid="{00000000-0010-0000-0000-00001E000000}" name="Valor del Proyecto" totalsRowFunction="sum" dataDxfId="104" totalsRowDxfId="42"/>
    <tableColumn id="31" xr3:uid="{00000000-0010-0000-0000-00001F000000}" name="Valor Vigencia Proyecto" totalsRowFunction="sum" dataDxfId="103" totalsRowDxfId="41"/>
    <tableColumn id="32" xr3:uid="{00000000-0010-0000-0000-000020000000}" name="Comuna o Barrio Beneficiado" totalsRowFunction="sum" dataDxfId="102" totalsRowDxfId="40"/>
    <tableColumn id="33" xr3:uid="{00000000-0010-0000-0000-000021000000}" name="Población Beneficiada" totalsRowFunction="sum" dataDxfId="101" totalsRowDxfId="39"/>
    <tableColumn id="34" xr3:uid="{00000000-0010-0000-0000-000022000000}" name="Número de Beneficiarios" totalsRowFunction="sum" dataDxfId="100" totalsRowDxfId="38"/>
    <tableColumn id="44" xr3:uid="{00000000-0010-0000-0000-00002C000000}" name="Actividades Realizadas" totalsRowFunction="sum" dataDxfId="99" totalsRowDxfId="37"/>
    <tableColumn id="46" xr3:uid="{00000000-0010-0000-0000-00002E000000}" name="Recursos propios 2024" totalsRowFunction="sum" dataDxfId="98" totalsRowDxfId="36">
      <calculatedColumnFormula>[1]!Tabla1[[#This Row],[Valor Vigencia Proyecto]]</calculatedColumnFormula>
    </tableColumn>
    <tableColumn id="47" xr3:uid="{00000000-0010-0000-0000-00002F000000}" name="SGP Educación 2024" totalsRowFunction="sum" dataDxfId="97" totalsRowDxfId="35"/>
    <tableColumn id="48" xr3:uid="{00000000-0010-0000-0000-000030000000}" name="SGP Salud 2024" totalsRowFunction="sum" dataDxfId="96" totalsRowDxfId="34"/>
    <tableColumn id="36" xr3:uid="{9F9AF3B5-9302-4098-86C2-F3751C61856C}" name="SGP Deporte 2024" totalsRowFunction="sum" dataDxfId="95" totalsRowDxfId="33"/>
    <tableColumn id="35" xr3:uid="{C5C853CA-0E38-42F1-B617-F223698DFB1E}" name="SGP Cultura 2024" totalsRowFunction="sum" dataDxfId="94" totalsRowDxfId="32"/>
    <tableColumn id="13" xr3:uid="{D6B586E6-694C-47D3-A512-D9CFE88B0A7F}" name="SGP Libre inversión 2024" totalsRowFunction="sum" dataDxfId="93" totalsRowDxfId="31"/>
    <tableColumn id="12" xr3:uid="{C6702C45-B7D4-4947-B509-EA37B6998105}" name="SGP Libre destinación 2024" totalsRowFunction="sum" dataDxfId="92" totalsRowDxfId="30"/>
    <tableColumn id="11" xr3:uid="{6017F25B-848D-457C-9FE3-AA60351408C4}" name="SGP Alimentación escolar 2024" totalsRowFunction="sum" dataDxfId="91" totalsRowDxfId="29"/>
    <tableColumn id="10" xr3:uid="{2CC2E560-F685-4D13-A61E-33C712BF2BB1}" name="SGP Municipios río Magdalena 2024" totalsRowFunction="sum" dataDxfId="90" totalsRowDxfId="28"/>
    <tableColumn id="9" xr3:uid="{09919044-DCEC-4B52-92EE-B073D02DC126}" name="SGP APSB 2024" totalsRowFunction="sum" dataDxfId="89" totalsRowDxfId="27"/>
    <tableColumn id="8" xr3:uid="{DB23BA9E-ECC6-40CB-BD89-0D2B86F37CB6}" name="Crédito 2024" totalsRowFunction="sum" dataDxfId="88" totalsRowDxfId="26"/>
    <tableColumn id="7" xr3:uid="{D5A630DF-3B56-46D1-9753-5E0368C63EC6}" name="Transferencias de capital - cofinanciación departamento 2024" totalsRowFunction="sum" dataDxfId="87" totalsRowDxfId="25"/>
    <tableColumn id="6" xr3:uid="{412FCA12-6813-443B-B6C2-123BED9F85F9}" name="Transferencias de capital - cofinanciación nación 2024" totalsRowFunction="sum" dataDxfId="86" totalsRowDxfId="24"/>
    <tableColumn id="49" xr3:uid="{00000000-0010-0000-0000-000031000000}" name="Otros 2024" totalsRowFunction="sum" dataDxfId="85" totalsRowDxfId="23"/>
    <tableColumn id="50" xr3:uid="{00000000-0010-0000-0000-000032000000}" name="Total 2024" totalsRowFunction="sum" dataDxfId="84" totalsRowDxfId="22">
      <calculatedColumnFormula>SUM(Tabla1[[#This Row],[Recursos propios 2024]:[Otros 2024]])</calculatedColumnFormula>
    </tableColumn>
    <tableColumn id="51" xr3:uid="{00000000-0010-0000-0000-000033000000}" name="Recursos propios 20242" totalsRowFunction="sum" dataDxfId="83" totalsRowDxfId="21"/>
    <tableColumn id="52" xr3:uid="{00000000-0010-0000-0000-000034000000}" name="SGP Educación 20243" totalsRowFunction="sum" dataDxfId="82" totalsRowDxfId="20"/>
    <tableColumn id="53" xr3:uid="{00000000-0010-0000-0000-000035000000}" name="SGP Salud 20244" totalsRowFunction="sum" dataDxfId="81" totalsRowDxfId="19"/>
    <tableColumn id="62" xr3:uid="{7C7CEB6E-F374-4CFE-9734-C5F0F9CACDEF}" name="SGP Deporte 20245" totalsRowFunction="sum" dataDxfId="80" totalsRowDxfId="18"/>
    <tableColumn id="61" xr3:uid="{3FADCE38-626D-4D04-8E80-59C4EF4A26E2}" name="SGP Cultura 20246" totalsRowFunction="sum" dataDxfId="79" totalsRowDxfId="17"/>
    <tableColumn id="45" xr3:uid="{6E60DE39-5E5F-42D9-8EA9-092D48DC1C96}" name="SGP Libre inversión 20247" totalsRowFunction="sum" dataDxfId="78" totalsRowDxfId="16"/>
    <tableColumn id="43" xr3:uid="{2BAC0D89-AF4D-42C7-B398-E355E1723AC0}" name="SGP Libre destinación 20248" totalsRowFunction="sum" dataDxfId="77" totalsRowDxfId="15"/>
    <tableColumn id="42" xr3:uid="{26B92485-4124-4A13-AFC5-F2B525B9055F}" name="SGP Alimentación escolar 20249" totalsRowFunction="sum" dataDxfId="76" totalsRowDxfId="14"/>
    <tableColumn id="41" xr3:uid="{DE932401-FD8A-4377-94A4-629C2334F09E}" name="SGP Municipios río Magdalena 202410" totalsRowFunction="sum" dataDxfId="75" totalsRowDxfId="13"/>
    <tableColumn id="40" xr3:uid="{1BEDA122-5557-4D48-AF95-BCC1CDE51394}" name="SGP APSB 202411" totalsRowFunction="sum" dataDxfId="74" totalsRowDxfId="12"/>
    <tableColumn id="39" xr3:uid="{08579477-3F83-4D37-83BA-A19DF09AE01D}" name="Crédito 202412" totalsRowFunction="sum" dataDxfId="73" totalsRowDxfId="11"/>
    <tableColumn id="38" xr3:uid="{A6A070B1-2233-4449-B2F2-3342ACF65D94}" name="Transferencias de capital - cofinanciación departamento 202413" totalsRowFunction="sum" dataDxfId="72" totalsRowDxfId="10"/>
    <tableColumn id="37" xr3:uid="{81D561A4-3CB9-4C97-9B09-8163BD53EE55}" name="Transferencias de capital - cofinanciación nación 202414" totalsRowFunction="sum" dataDxfId="71" totalsRowDxfId="9"/>
    <tableColumn id="54" xr3:uid="{00000000-0010-0000-0000-000036000000}" name="Otros 202415" totalsRowFunction="sum" dataDxfId="70" totalsRowDxfId="8"/>
    <tableColumn id="55" xr3:uid="{00000000-0010-0000-0000-000037000000}" name="Total Comprometido 2024" totalsRowFunction="sum" dataDxfId="69" totalsRowDxfId="7">
      <calculatedColumnFormula>SUM(Tabla1[[#This Row],[Recursos propios 20242]:[Otros 202415]])</calculatedColumnFormula>
    </tableColumn>
    <tableColumn id="56" xr3:uid="{00000000-0010-0000-0000-000038000000}" name="Ejecución Presupuestal" totalsRowLabel="79%" dataDxfId="68" totalsRowDxfId="6">
      <calculatedColumnFormula>+Tabla1[[#This Row],[Total Comprometido 2024]]/Tabla1[[#This Row],[Total 2024]]</calculatedColumnFormula>
    </tableColumn>
    <tableColumn id="3" xr3:uid="{97D6E022-C782-4FF3-9460-66988DC9E046}" name="Total Recursos Obligados" totalsRowFunction="sum" dataDxfId="67" totalsRowDxfId="5">
      <calculatedColumnFormula>Tabla1[[#This Row],[Total Recursos Pagados]]</calculatedColumnFormula>
    </tableColumn>
    <tableColumn id="4" xr3:uid="{FACF9905-9C80-4C0B-AA93-96434C5C0E89}" name="Total Recursos Pagados" totalsRowFunction="sum" dataDxfId="66" totalsRowDxfId="4"/>
    <tableColumn id="57" xr3:uid="{00000000-0010-0000-0000-000039000000}" name="Recursos Gestionados" dataDxfId="65" totalsRowDxfId="3"/>
    <tableColumn id="58" xr3:uid="{00000000-0010-0000-0000-00003A000000}" name="Dependencia" dataDxfId="64" totalsRowDxfId="2"/>
    <tableColumn id="59" xr3:uid="{00000000-0010-0000-0000-00003B000000}" name="Responsable" dataDxfId="63" totalsRowDxfId="1"/>
    <tableColumn id="60" xr3:uid="{00000000-0010-0000-0000-00003C000000}" name="ODS" dataDxfId="62"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31"/>
  <sheetViews>
    <sheetView showGridLines="0" tabSelected="1" topLeftCell="A5" zoomScale="60" zoomScaleNormal="60" workbookViewId="0">
      <selection activeCell="BF5" sqref="BF5"/>
    </sheetView>
  </sheetViews>
  <sheetFormatPr baseColWidth="10" defaultColWidth="11.375" defaultRowHeight="15"/>
  <cols>
    <col min="1" max="1" width="24" style="6" customWidth="1"/>
    <col min="2" max="2" width="36.125" style="6" customWidth="1"/>
    <col min="3" max="3" width="20.375" style="6" customWidth="1"/>
    <col min="4" max="4" width="19.125" style="6" customWidth="1"/>
    <col min="5" max="5" width="25.75" style="6" customWidth="1"/>
    <col min="6" max="6" width="21.75" style="6" customWidth="1"/>
    <col min="7" max="7" width="22.375" style="6" customWidth="1"/>
    <col min="8" max="8" width="31.75" style="6" customWidth="1"/>
    <col min="9" max="9" width="26.25" style="6" customWidth="1"/>
    <col min="10" max="10" width="14.125" style="6" customWidth="1"/>
    <col min="11" max="11" width="23.25" style="6" customWidth="1"/>
    <col min="12" max="12" width="16.75" style="6" customWidth="1"/>
    <col min="13" max="13" width="33.875" style="6" customWidth="1"/>
    <col min="14" max="14" width="34.375" style="6" customWidth="1"/>
    <col min="15" max="15" width="30.375" style="6" customWidth="1"/>
    <col min="16" max="16" width="27.625" style="7" customWidth="1"/>
    <col min="17" max="17" width="33.75" style="8" customWidth="1"/>
    <col min="18" max="18" width="25.375" style="47" customWidth="1"/>
    <col min="19" max="19" width="25.125" style="6" customWidth="1"/>
    <col min="20" max="20" width="26.125" style="58" bestFit="1" customWidth="1"/>
    <col min="21" max="21" width="28.375" style="58" customWidth="1"/>
    <col min="22" max="22" width="34.125" style="6" customWidth="1"/>
    <col min="23" max="23" width="26.875" style="6" customWidth="1"/>
    <col min="24" max="24" width="28.875" style="6" customWidth="1"/>
    <col min="25" max="25" width="27.25" style="6" customWidth="1"/>
    <col min="26" max="26" width="27.125" style="6" customWidth="1"/>
    <col min="27" max="27" width="17.625" style="6" hidden="1" customWidth="1"/>
    <col min="28" max="39" width="18.375" style="6" hidden="1" customWidth="1"/>
    <col min="40" max="40" width="28" style="6" customWidth="1"/>
    <col min="41" max="41" width="24.375" style="6" customWidth="1"/>
    <col min="42" max="51" width="19" style="6" hidden="1" customWidth="1"/>
    <col min="52" max="52" width="26.625" style="6" hidden="1" customWidth="1"/>
    <col min="53" max="53" width="25.375" style="6" hidden="1" customWidth="1"/>
    <col min="54" max="54" width="19" style="6" hidden="1" customWidth="1"/>
    <col min="55" max="55" width="26.875" style="6" customWidth="1"/>
    <col min="56" max="58" width="27.375" style="6" customWidth="1"/>
    <col min="59" max="59" width="25.875" style="6" customWidth="1"/>
    <col min="60" max="60" width="17.625" style="6" customWidth="1"/>
    <col min="61" max="61" width="19.625" style="6" customWidth="1"/>
    <col min="62" max="62" width="21.375" style="6" customWidth="1"/>
    <col min="63" max="63" width="22.875" style="1" bestFit="1" customWidth="1"/>
    <col min="64" max="64" width="33" style="1" bestFit="1" customWidth="1"/>
    <col min="65" max="65" width="28.875" style="1" bestFit="1" customWidth="1"/>
    <col min="66" max="66" width="58.375" style="1" bestFit="1" customWidth="1"/>
    <col min="67" max="67" width="26" style="1" bestFit="1" customWidth="1"/>
    <col min="68" max="68" width="24.375" style="1" bestFit="1" customWidth="1"/>
    <col min="69" max="69" width="35.375" style="1" bestFit="1" customWidth="1"/>
    <col min="70" max="70" width="30.375" style="1" bestFit="1" customWidth="1"/>
    <col min="71" max="71" width="31.375" style="1" bestFit="1" customWidth="1"/>
    <col min="72" max="72" width="38" style="1" bestFit="1" customWidth="1"/>
    <col min="73" max="73" width="40.125" style="1" bestFit="1" customWidth="1"/>
    <col min="74" max="74" width="43.375" style="1" bestFit="1" customWidth="1"/>
    <col min="75" max="75" width="48.875" style="1" bestFit="1" customWidth="1"/>
    <col min="76" max="76" width="39.375" style="1" bestFit="1" customWidth="1"/>
    <col min="77" max="77" width="26.875" style="1" bestFit="1" customWidth="1"/>
    <col min="78" max="78" width="47" style="1" bestFit="1" customWidth="1"/>
    <col min="79" max="79" width="40" style="1" bestFit="1" customWidth="1"/>
    <col min="80" max="80" width="83.625" style="1" bestFit="1" customWidth="1"/>
    <col min="81" max="81" width="21.375" style="1" bestFit="1" customWidth="1"/>
    <col min="82" max="82" width="31.375" style="1" bestFit="1" customWidth="1"/>
    <col min="83" max="83" width="27.375" style="1" bestFit="1" customWidth="1"/>
    <col min="84" max="84" width="56.875" style="1" bestFit="1" customWidth="1"/>
    <col min="85" max="85" width="24.375" style="1" bestFit="1" customWidth="1"/>
    <col min="86" max="86" width="22.875" style="1" bestFit="1" customWidth="1"/>
    <col min="87" max="87" width="33.875" style="1" bestFit="1" customWidth="1"/>
    <col min="88" max="88" width="29" style="1" bestFit="1" customWidth="1"/>
    <col min="89" max="89" width="29.875" style="1" bestFit="1" customWidth="1"/>
    <col min="90" max="90" width="36.375" style="1" bestFit="1" customWidth="1"/>
    <col min="91" max="91" width="38.625" style="1" bestFit="1" customWidth="1"/>
    <col min="92" max="92" width="42" style="1" bestFit="1" customWidth="1"/>
    <col min="93" max="93" width="47.375" style="1" bestFit="1" customWidth="1"/>
    <col min="94" max="94" width="37.875" style="1" bestFit="1" customWidth="1"/>
    <col min="95" max="95" width="25.375" style="1" bestFit="1" customWidth="1"/>
    <col min="96" max="96" width="45.375" style="1" bestFit="1" customWidth="1"/>
    <col min="97" max="97" width="38.375" style="1" bestFit="1" customWidth="1"/>
    <col min="98" max="98" width="82.125" style="1" bestFit="1" customWidth="1"/>
    <col min="99" max="99" width="22" style="1" bestFit="1" customWidth="1"/>
    <col min="100" max="100" width="32.125" style="1" bestFit="1" customWidth="1"/>
    <col min="101" max="101" width="28" style="1" bestFit="1" customWidth="1"/>
    <col min="102" max="102" width="57.375" style="1" bestFit="1" customWidth="1"/>
    <col min="103" max="103" width="25.125" style="1" bestFit="1" customWidth="1"/>
    <col min="104" max="104" width="23.375" style="1" bestFit="1" customWidth="1"/>
    <col min="105" max="105" width="34.375" style="1" bestFit="1" customWidth="1"/>
    <col min="106" max="106" width="29.375" style="1" bestFit="1" customWidth="1"/>
    <col min="107" max="107" width="30.375" style="1" bestFit="1" customWidth="1"/>
    <col min="108" max="108" width="37.125" style="1" bestFit="1" customWidth="1"/>
    <col min="109" max="109" width="39.375" style="1" bestFit="1" customWidth="1"/>
    <col min="110" max="110" width="42.375" style="1" bestFit="1" customWidth="1"/>
    <col min="111" max="111" width="48" style="1" bestFit="1" customWidth="1"/>
    <col min="112" max="112" width="38.375" style="1" bestFit="1" customWidth="1"/>
    <col min="113" max="113" width="25.875" style="1" bestFit="1" customWidth="1"/>
    <col min="114" max="114" width="46" style="1" bestFit="1" customWidth="1"/>
    <col min="115" max="115" width="39.125" style="1" bestFit="1" customWidth="1"/>
    <col min="116" max="116" width="82.625" style="1" bestFit="1" customWidth="1"/>
    <col min="117" max="117" width="20" style="1" bestFit="1" customWidth="1"/>
    <col min="118" max="118" width="30.125" style="1" bestFit="1" customWidth="1"/>
    <col min="119" max="119" width="26" style="1" bestFit="1" customWidth="1"/>
    <col min="120" max="120" width="55.375" style="1" bestFit="1" customWidth="1"/>
    <col min="121" max="121" width="23.375" style="1" bestFit="1" customWidth="1"/>
    <col min="122" max="122" width="21.375" style="1" bestFit="1" customWidth="1"/>
    <col min="123" max="123" width="32.375" style="1" bestFit="1" customWidth="1"/>
    <col min="124" max="124" width="27.625" style="1" bestFit="1" customWidth="1"/>
    <col min="125" max="125" width="28.375" style="1" bestFit="1" customWidth="1"/>
    <col min="126" max="126" width="35.125" style="1" bestFit="1" customWidth="1"/>
    <col min="127" max="127" width="37.375" style="1" bestFit="1" customWidth="1"/>
    <col min="128" max="128" width="40.375" style="1" bestFit="1" customWidth="1"/>
    <col min="129" max="129" width="46" style="1" bestFit="1" customWidth="1"/>
    <col min="130" max="130" width="36.375" style="1" bestFit="1" customWidth="1"/>
    <col min="131" max="131" width="24" style="1" bestFit="1" customWidth="1"/>
    <col min="132" max="132" width="44.125" style="1" bestFit="1" customWidth="1"/>
    <col min="133" max="133" width="37.375" style="1" bestFit="1" customWidth="1"/>
    <col min="134" max="134" width="80.875" style="1" bestFit="1" customWidth="1"/>
    <col min="135" max="135" width="37.125" style="1" bestFit="1" customWidth="1"/>
    <col min="136" max="136" width="22.875" style="1" bestFit="1" customWidth="1"/>
    <col min="137" max="137" width="33" style="1" bestFit="1" customWidth="1"/>
    <col min="138" max="138" width="28.875" style="1" bestFit="1" customWidth="1"/>
    <col min="139" max="139" width="58.375" style="1" bestFit="1" customWidth="1"/>
    <col min="140" max="140" width="26" style="1" bestFit="1" customWidth="1"/>
    <col min="141" max="141" width="24.375" style="1" bestFit="1" customWidth="1"/>
    <col min="142" max="142" width="35.375" style="1" bestFit="1" customWidth="1"/>
    <col min="143" max="143" width="30.375" style="1" bestFit="1" customWidth="1"/>
    <col min="144" max="144" width="31.375" style="1" bestFit="1" customWidth="1"/>
    <col min="145" max="145" width="38" style="1" bestFit="1" customWidth="1"/>
    <col min="146" max="146" width="40.125" style="1" bestFit="1" customWidth="1"/>
    <col min="147" max="147" width="43.375" style="1" bestFit="1" customWidth="1"/>
    <col min="148" max="148" width="48.875" style="1" bestFit="1" customWidth="1"/>
    <col min="149" max="149" width="39.375" style="1" bestFit="1" customWidth="1"/>
    <col min="150" max="150" width="26.875" style="1" bestFit="1" customWidth="1"/>
    <col min="151" max="151" width="47" style="1" bestFit="1" customWidth="1"/>
    <col min="152" max="152" width="40" style="1" bestFit="1" customWidth="1"/>
    <col min="153" max="153" width="83.625" style="1" bestFit="1" customWidth="1"/>
    <col min="154" max="154" width="21.375" style="1" bestFit="1" customWidth="1"/>
    <col min="155" max="155" width="31.375" style="1" bestFit="1" customWidth="1"/>
    <col min="156" max="156" width="27.375" style="1" bestFit="1" customWidth="1"/>
    <col min="157" max="157" width="56.875" style="1" bestFit="1" customWidth="1"/>
    <col min="158" max="158" width="24.375" style="1" bestFit="1" customWidth="1"/>
    <col min="159" max="159" width="22.875" style="1" bestFit="1" customWidth="1"/>
    <col min="160" max="160" width="33.875" style="1" bestFit="1" customWidth="1"/>
    <col min="161" max="161" width="29" style="1" bestFit="1" customWidth="1"/>
    <col min="162" max="162" width="29.875" style="1" bestFit="1" customWidth="1"/>
    <col min="163" max="163" width="36.375" style="1" bestFit="1" customWidth="1"/>
    <col min="164" max="164" width="38.625" style="1" bestFit="1" customWidth="1"/>
    <col min="165" max="165" width="42" style="1" bestFit="1" customWidth="1"/>
    <col min="166" max="166" width="47.375" style="1" bestFit="1" customWidth="1"/>
    <col min="167" max="167" width="37.875" style="1" bestFit="1" customWidth="1"/>
    <col min="168" max="168" width="25.375" style="1" bestFit="1" customWidth="1"/>
    <col min="169" max="169" width="45.375" style="1" bestFit="1" customWidth="1"/>
    <col min="170" max="170" width="38.375" style="1" bestFit="1" customWidth="1"/>
    <col min="171" max="171" width="82.125" style="1" bestFit="1" customWidth="1"/>
    <col min="172" max="172" width="22" style="1" bestFit="1" customWidth="1"/>
    <col min="173" max="173" width="32.125" style="1" bestFit="1" customWidth="1"/>
    <col min="174" max="174" width="28" style="1" bestFit="1" customWidth="1"/>
    <col min="175" max="175" width="57.375" style="1" bestFit="1" customWidth="1"/>
    <col min="176" max="176" width="25.125" style="1" bestFit="1" customWidth="1"/>
    <col min="177" max="177" width="23.375" style="1" bestFit="1" customWidth="1"/>
    <col min="178" max="178" width="34.375" style="1" bestFit="1" customWidth="1"/>
    <col min="179" max="179" width="29.375" style="1" bestFit="1" customWidth="1"/>
    <col min="180" max="180" width="30.375" style="1" bestFit="1" customWidth="1"/>
    <col min="181" max="181" width="37.125" style="1" bestFit="1" customWidth="1"/>
    <col min="182" max="182" width="39.375" style="1" bestFit="1" customWidth="1"/>
    <col min="183" max="183" width="42.375" style="1" bestFit="1" customWidth="1"/>
    <col min="184" max="184" width="48" style="1" bestFit="1" customWidth="1"/>
    <col min="185" max="185" width="38.375" style="1" bestFit="1" customWidth="1"/>
    <col min="186" max="186" width="25.875" style="1" bestFit="1" customWidth="1"/>
    <col min="187" max="187" width="46" style="1" bestFit="1" customWidth="1"/>
    <col min="188" max="188" width="39.125" style="1" bestFit="1" customWidth="1"/>
    <col min="189" max="189" width="82.625" style="1" bestFit="1" customWidth="1"/>
    <col min="190" max="190" width="20" style="1" bestFit="1" customWidth="1"/>
    <col min="191" max="191" width="30.125" style="1" bestFit="1" customWidth="1"/>
    <col min="192" max="192" width="26" style="1" bestFit="1" customWidth="1"/>
    <col min="193" max="193" width="55.375" style="1" bestFit="1" customWidth="1"/>
    <col min="194" max="194" width="23.375" style="1" bestFit="1" customWidth="1"/>
    <col min="195" max="195" width="21.375" style="1" bestFit="1" customWidth="1"/>
    <col min="196" max="196" width="32.375" style="1" bestFit="1" customWidth="1"/>
    <col min="197" max="197" width="27.625" style="1" bestFit="1" customWidth="1"/>
    <col min="198" max="198" width="28.375" style="1" bestFit="1" customWidth="1"/>
    <col min="199" max="199" width="35.125" style="1" bestFit="1" customWidth="1"/>
    <col min="200" max="200" width="37.375" style="1" bestFit="1" customWidth="1"/>
    <col min="201" max="201" width="40.375" style="1" bestFit="1" customWidth="1"/>
    <col min="202" max="202" width="46" style="1" bestFit="1" customWidth="1"/>
    <col min="203" max="203" width="36.375" style="1" bestFit="1" customWidth="1"/>
    <col min="204" max="204" width="24" style="1" bestFit="1" customWidth="1"/>
    <col min="205" max="205" width="44.125" style="1" bestFit="1" customWidth="1"/>
    <col min="206" max="206" width="37.375" style="1" bestFit="1" customWidth="1"/>
    <col min="207" max="207" width="80.875" style="1" bestFit="1" customWidth="1"/>
    <col min="208" max="208" width="37.125" style="1" bestFit="1" customWidth="1"/>
    <col min="209" max="209" width="22.875" style="1" bestFit="1" customWidth="1"/>
    <col min="210" max="210" width="33" style="1" bestFit="1" customWidth="1"/>
    <col min="211" max="211" width="28.875" style="1" bestFit="1" customWidth="1"/>
    <col min="212" max="212" width="58.375" style="1" bestFit="1" customWidth="1"/>
    <col min="213" max="213" width="26" style="1" bestFit="1" customWidth="1"/>
    <col min="214" max="214" width="24.375" style="1" bestFit="1" customWidth="1"/>
    <col min="215" max="215" width="35.375" style="1" bestFit="1" customWidth="1"/>
    <col min="216" max="216" width="30.375" style="1" bestFit="1" customWidth="1"/>
    <col min="217" max="217" width="31.375" style="1" bestFit="1" customWidth="1"/>
    <col min="218" max="218" width="38" style="1" bestFit="1" customWidth="1"/>
    <col min="219" max="219" width="40.125" style="1" bestFit="1" customWidth="1"/>
    <col min="220" max="220" width="43.375" style="1" bestFit="1" customWidth="1"/>
    <col min="221" max="221" width="48.875" style="1" bestFit="1" customWidth="1"/>
    <col min="222" max="222" width="39.375" style="1" bestFit="1" customWidth="1"/>
    <col min="223" max="223" width="26.875" style="1" bestFit="1" customWidth="1"/>
    <col min="224" max="224" width="47" style="1" bestFit="1" customWidth="1"/>
    <col min="225" max="225" width="40" style="1" bestFit="1" customWidth="1"/>
    <col min="226" max="226" width="83.625" style="1" bestFit="1" customWidth="1"/>
    <col min="227" max="227" width="21.375" style="1" bestFit="1" customWidth="1"/>
    <col min="228" max="228" width="31.375" style="1" bestFit="1" customWidth="1"/>
    <col min="229" max="229" width="27.375" style="1" bestFit="1" customWidth="1"/>
    <col min="230" max="230" width="56.875" style="1" bestFit="1" customWidth="1"/>
    <col min="231" max="231" width="24.375" style="1" bestFit="1" customWidth="1"/>
    <col min="232" max="232" width="22.875" style="1" bestFit="1" customWidth="1"/>
    <col min="233" max="233" width="33.875" style="1" bestFit="1" customWidth="1"/>
    <col min="234" max="234" width="29" style="1" bestFit="1" customWidth="1"/>
    <col min="235" max="235" width="29.875" style="1" bestFit="1" customWidth="1"/>
    <col min="236" max="236" width="36.375" style="1" bestFit="1" customWidth="1"/>
    <col min="237" max="237" width="38.625" style="1" bestFit="1" customWidth="1"/>
    <col min="238" max="238" width="42" style="1" bestFit="1" customWidth="1"/>
    <col min="239" max="239" width="47.375" style="1" bestFit="1" customWidth="1"/>
    <col min="240" max="240" width="37.875" style="1" bestFit="1" customWidth="1"/>
    <col min="241" max="241" width="25.375" style="1" bestFit="1" customWidth="1"/>
    <col min="242" max="242" width="45.375" style="1" bestFit="1" customWidth="1"/>
    <col min="243" max="243" width="38.375" style="1" bestFit="1" customWidth="1"/>
    <col min="244" max="244" width="82.125" style="1" bestFit="1" customWidth="1"/>
    <col min="245" max="245" width="22" style="1" bestFit="1" customWidth="1"/>
    <col min="246" max="246" width="32.125" style="1" bestFit="1" customWidth="1"/>
    <col min="247" max="247" width="28" style="1" bestFit="1" customWidth="1"/>
    <col min="248" max="248" width="57.375" style="1" bestFit="1" customWidth="1"/>
    <col min="249" max="249" width="25.125" style="1" bestFit="1" customWidth="1"/>
    <col min="250" max="250" width="23.375" style="1" bestFit="1" customWidth="1"/>
    <col min="251" max="251" width="34.375" style="1" bestFit="1" customWidth="1"/>
    <col min="252" max="252" width="29.375" style="1" bestFit="1" customWidth="1"/>
    <col min="253" max="253" width="30.375" style="1" bestFit="1" customWidth="1"/>
    <col min="254" max="254" width="37.125" style="1" bestFit="1" customWidth="1"/>
    <col min="255" max="255" width="39.375" style="1" bestFit="1" customWidth="1"/>
    <col min="256" max="256" width="42.375" style="1" bestFit="1" customWidth="1"/>
    <col min="257" max="257" width="48" style="1" bestFit="1" customWidth="1"/>
    <col min="258" max="258" width="38.375" style="1" bestFit="1" customWidth="1"/>
    <col min="259" max="259" width="25.875" style="1" bestFit="1" customWidth="1"/>
    <col min="260" max="260" width="46" style="1" bestFit="1" customWidth="1"/>
    <col min="261" max="261" width="39.125" style="1" bestFit="1" customWidth="1"/>
    <col min="262" max="262" width="82.625" style="1" bestFit="1" customWidth="1"/>
    <col min="263" max="263" width="20" style="1" bestFit="1" customWidth="1"/>
    <col min="264" max="264" width="30.125" style="1" bestFit="1" customWidth="1"/>
    <col min="265" max="265" width="26" style="1" bestFit="1" customWidth="1"/>
    <col min="266" max="266" width="55.375" style="1" bestFit="1" customWidth="1"/>
    <col min="267" max="267" width="23.375" style="1" bestFit="1" customWidth="1"/>
    <col min="268" max="268" width="21.375" style="1" bestFit="1" customWidth="1"/>
    <col min="269" max="269" width="32.375" style="1" bestFit="1" customWidth="1"/>
    <col min="270" max="270" width="27.625" style="1" bestFit="1" customWidth="1"/>
    <col min="271" max="271" width="28.375" style="1" bestFit="1" customWidth="1"/>
    <col min="272" max="272" width="35.125" style="1" bestFit="1" customWidth="1"/>
    <col min="273" max="273" width="37.375" style="1" bestFit="1" customWidth="1"/>
    <col min="274" max="274" width="40.375" style="1" bestFit="1" customWidth="1"/>
    <col min="275" max="275" width="46" style="1" bestFit="1" customWidth="1"/>
    <col min="276" max="276" width="36.375" style="1" bestFit="1" customWidth="1"/>
    <col min="277" max="277" width="24" style="1" bestFit="1" customWidth="1"/>
    <col min="278" max="278" width="44.125" style="1" bestFit="1" customWidth="1"/>
    <col min="279" max="279" width="37.375" style="1" bestFit="1" customWidth="1"/>
    <col min="280" max="280" width="80.875" style="1" bestFit="1" customWidth="1"/>
    <col min="281" max="281" width="37.125" style="1" bestFit="1" customWidth="1"/>
    <col min="282" max="282" width="22.875" style="1" bestFit="1" customWidth="1"/>
    <col min="283" max="283" width="33" style="1" bestFit="1" customWidth="1"/>
    <col min="284" max="284" width="28.875" style="1" bestFit="1" customWidth="1"/>
    <col min="285" max="285" width="58.375" style="1" bestFit="1" customWidth="1"/>
    <col min="286" max="286" width="26" style="1" bestFit="1" customWidth="1"/>
    <col min="287" max="287" width="24.375" style="1" bestFit="1" customWidth="1"/>
    <col min="288" max="288" width="35.375" style="1" bestFit="1" customWidth="1"/>
    <col min="289" max="289" width="30.375" style="1" bestFit="1" customWidth="1"/>
    <col min="290" max="290" width="31.375" style="1" bestFit="1" customWidth="1"/>
    <col min="291" max="291" width="38" style="1" bestFit="1" customWidth="1"/>
    <col min="292" max="292" width="40.125" style="1" bestFit="1" customWidth="1"/>
    <col min="293" max="293" width="43.375" style="1" bestFit="1" customWidth="1"/>
    <col min="294" max="294" width="48.875" style="1" bestFit="1" customWidth="1"/>
    <col min="295" max="295" width="39.375" style="1" bestFit="1" customWidth="1"/>
    <col min="296" max="296" width="26.875" style="1" bestFit="1" customWidth="1"/>
    <col min="297" max="297" width="47" style="1" bestFit="1" customWidth="1"/>
    <col min="298" max="298" width="40" style="1" bestFit="1" customWidth="1"/>
    <col min="299" max="299" width="83.625" style="1" bestFit="1" customWidth="1"/>
    <col min="300" max="300" width="21.375" style="1" bestFit="1" customWidth="1"/>
    <col min="301" max="301" width="31.375" style="1" bestFit="1" customWidth="1"/>
    <col min="302" max="302" width="27.375" style="1" bestFit="1" customWidth="1"/>
    <col min="303" max="303" width="56.875" style="1" bestFit="1" customWidth="1"/>
    <col min="304" max="304" width="24.375" style="1" bestFit="1" customWidth="1"/>
    <col min="305" max="305" width="22.875" style="1" bestFit="1" customWidth="1"/>
    <col min="306" max="306" width="33.875" style="1" bestFit="1" customWidth="1"/>
    <col min="307" max="307" width="29" style="1" bestFit="1" customWidth="1"/>
    <col min="308" max="308" width="29.875" style="1" bestFit="1" customWidth="1"/>
    <col min="309" max="309" width="36.375" style="1" bestFit="1" customWidth="1"/>
    <col min="310" max="310" width="38.625" style="1" bestFit="1" customWidth="1"/>
    <col min="311" max="311" width="42" style="1" bestFit="1" customWidth="1"/>
    <col min="312" max="312" width="47.375" style="1" bestFit="1" customWidth="1"/>
    <col min="313" max="313" width="37.875" style="1" bestFit="1" customWidth="1"/>
    <col min="314" max="314" width="25.375" style="1" bestFit="1" customWidth="1"/>
    <col min="315" max="315" width="45.375" style="1" bestFit="1" customWidth="1"/>
    <col min="316" max="316" width="38.375" style="1" bestFit="1" customWidth="1"/>
    <col min="317" max="317" width="82.125" style="1" bestFit="1" customWidth="1"/>
    <col min="318" max="318" width="22" style="1" bestFit="1" customWidth="1"/>
    <col min="319" max="319" width="32.125" style="1" bestFit="1" customWidth="1"/>
    <col min="320" max="320" width="28" style="1" bestFit="1" customWidth="1"/>
    <col min="321" max="321" width="57.375" style="1" bestFit="1" customWidth="1"/>
    <col min="322" max="322" width="25.125" style="1" bestFit="1" customWidth="1"/>
    <col min="323" max="323" width="23.375" style="1" bestFit="1" customWidth="1"/>
    <col min="324" max="324" width="34.375" style="1" bestFit="1" customWidth="1"/>
    <col min="325" max="325" width="29.375" style="1" bestFit="1" customWidth="1"/>
    <col min="326" max="326" width="30.375" style="1" bestFit="1" customWidth="1"/>
    <col min="327" max="327" width="37.125" style="1" bestFit="1" customWidth="1"/>
    <col min="328" max="328" width="39.375" style="1" bestFit="1" customWidth="1"/>
    <col min="329" max="329" width="42.375" style="1" bestFit="1" customWidth="1"/>
    <col min="330" max="330" width="48" style="1" bestFit="1" customWidth="1"/>
    <col min="331" max="331" width="38.375" style="1" bestFit="1" customWidth="1"/>
    <col min="332" max="332" width="25.875" style="1" bestFit="1" customWidth="1"/>
    <col min="333" max="333" width="46" style="1" bestFit="1" customWidth="1"/>
    <col min="334" max="334" width="39.125" style="1" bestFit="1" customWidth="1"/>
    <col min="335" max="335" width="82.625" style="1" bestFit="1" customWidth="1"/>
    <col min="336" max="336" width="20" style="1" bestFit="1" customWidth="1"/>
    <col min="337" max="337" width="30.125" style="1" bestFit="1" customWidth="1"/>
    <col min="338" max="338" width="26" style="1" bestFit="1" customWidth="1"/>
    <col min="339" max="339" width="55.375" style="1" bestFit="1" customWidth="1"/>
    <col min="340" max="340" width="23.375" style="1" bestFit="1" customWidth="1"/>
    <col min="341" max="341" width="21.375" style="1" bestFit="1" customWidth="1"/>
    <col min="342" max="342" width="32.375" style="1" bestFit="1" customWidth="1"/>
    <col min="343" max="343" width="27.625" style="1" bestFit="1" customWidth="1"/>
    <col min="344" max="344" width="28.375" style="1" bestFit="1" customWidth="1"/>
    <col min="345" max="345" width="35.125" style="1" bestFit="1" customWidth="1"/>
    <col min="346" max="346" width="37.375" style="1" bestFit="1" customWidth="1"/>
    <col min="347" max="347" width="40.375" style="1" bestFit="1" customWidth="1"/>
    <col min="348" max="348" width="46" style="1" bestFit="1" customWidth="1"/>
    <col min="349" max="349" width="36.375" style="1" bestFit="1" customWidth="1"/>
    <col min="350" max="350" width="24" style="1" bestFit="1" customWidth="1"/>
    <col min="351" max="351" width="44.125" style="1" bestFit="1" customWidth="1"/>
    <col min="352" max="352" width="37.375" style="1" bestFit="1" customWidth="1"/>
    <col min="353" max="353" width="80.875" style="1" bestFit="1" customWidth="1"/>
    <col min="354" max="354" width="37.125" style="1" bestFit="1" customWidth="1"/>
    <col min="355" max="16384" width="11.375" style="1"/>
  </cols>
  <sheetData>
    <row r="1" spans="1:62" ht="30" customHeight="1">
      <c r="A1" s="86"/>
      <c r="B1" s="86"/>
      <c r="C1" s="87" t="s">
        <v>34</v>
      </c>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9"/>
      <c r="BH1" s="16" t="s">
        <v>35</v>
      </c>
      <c r="BI1" s="17"/>
      <c r="BJ1" s="18"/>
    </row>
    <row r="2" spans="1:62" ht="30" customHeight="1">
      <c r="A2" s="86"/>
      <c r="B2" s="86"/>
      <c r="C2" s="87"/>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9"/>
      <c r="BH2" s="16" t="s">
        <v>71</v>
      </c>
      <c r="BI2" s="17"/>
      <c r="BJ2" s="18"/>
    </row>
    <row r="3" spans="1:62" ht="30" customHeight="1">
      <c r="A3" s="86"/>
      <c r="B3" s="86"/>
      <c r="C3" s="87"/>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9"/>
      <c r="BH3" s="16" t="s">
        <v>72</v>
      </c>
      <c r="BI3" s="17"/>
      <c r="BJ3" s="18"/>
    </row>
    <row r="4" spans="1:62" ht="30" customHeight="1">
      <c r="A4" s="86"/>
      <c r="B4" s="86"/>
      <c r="C4" s="90"/>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2"/>
      <c r="BH4" s="19" t="s">
        <v>73</v>
      </c>
      <c r="BI4" s="20"/>
      <c r="BJ4" s="21"/>
    </row>
    <row r="5" spans="1:62" ht="23.25" customHeight="1">
      <c r="P5" s="6"/>
      <c r="Q5" s="6"/>
      <c r="BJ5" s="12"/>
    </row>
    <row r="6" spans="1:62" ht="28.5" customHeight="1" thickBot="1">
      <c r="B6" s="5" t="s">
        <v>30</v>
      </c>
      <c r="C6" s="9"/>
      <c r="D6" s="9"/>
      <c r="E6" s="9"/>
      <c r="F6" s="9"/>
      <c r="G6" s="9"/>
      <c r="H6" s="9"/>
      <c r="I6" s="9"/>
      <c r="J6" s="9"/>
      <c r="K6" s="9"/>
      <c r="L6" s="9"/>
      <c r="M6" s="9"/>
      <c r="N6" s="9"/>
      <c r="O6" s="9"/>
      <c r="P6" s="9"/>
      <c r="Q6" s="9"/>
      <c r="R6" s="48"/>
      <c r="S6" s="9"/>
      <c r="T6" s="59"/>
      <c r="U6" s="5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50000000000003" customHeight="1" thickBot="1">
      <c r="A7" s="1"/>
      <c r="B7" s="11">
        <v>2024</v>
      </c>
      <c r="C7" s="9"/>
      <c r="D7" s="9"/>
      <c r="E7" s="9"/>
      <c r="F7" s="9"/>
      <c r="G7" s="9"/>
      <c r="H7" s="9"/>
      <c r="I7" s="9"/>
      <c r="J7" s="9"/>
      <c r="K7" s="9"/>
      <c r="L7" s="9"/>
      <c r="M7" s="9"/>
      <c r="N7" s="9"/>
      <c r="O7" s="9"/>
      <c r="P7" s="9"/>
      <c r="Q7" s="9"/>
      <c r="R7" s="48"/>
      <c r="S7" s="9"/>
      <c r="T7" s="59"/>
      <c r="U7" s="5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499999999999993" customHeight="1" thickBot="1">
      <c r="A8" s="1"/>
      <c r="B8" s="1"/>
      <c r="C8" s="10"/>
      <c r="D8" s="9"/>
      <c r="E8" s="9"/>
      <c r="F8" s="9"/>
      <c r="G8" s="9"/>
      <c r="H8" s="9"/>
      <c r="I8" s="9"/>
      <c r="J8" s="9"/>
      <c r="K8" s="9"/>
      <c r="L8" s="9"/>
      <c r="M8" s="9"/>
      <c r="N8" s="9"/>
      <c r="O8" s="9"/>
      <c r="P8" s="9"/>
      <c r="Q8" s="9"/>
      <c r="R8" s="48"/>
      <c r="S8" s="9"/>
      <c r="T8" s="59"/>
      <c r="U8" s="5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c r="A9" s="98" t="s">
        <v>29</v>
      </c>
      <c r="B9" s="98"/>
      <c r="C9" s="98"/>
      <c r="D9" s="98"/>
      <c r="E9" s="98"/>
      <c r="F9" s="98"/>
      <c r="G9" s="98"/>
      <c r="H9" s="98"/>
      <c r="I9" s="98"/>
      <c r="J9" s="98"/>
      <c r="K9" s="98"/>
      <c r="L9" s="98"/>
      <c r="M9" s="98"/>
      <c r="N9" s="98"/>
      <c r="O9" s="95" t="s">
        <v>28</v>
      </c>
      <c r="P9" s="96"/>
      <c r="Q9" s="97"/>
      <c r="R9" s="95" t="s">
        <v>27</v>
      </c>
      <c r="S9" s="96"/>
      <c r="T9" s="96"/>
      <c r="U9" s="96"/>
      <c r="V9" s="96"/>
      <c r="W9" s="96"/>
      <c r="X9" s="96"/>
      <c r="Y9" s="96"/>
      <c r="Z9" s="99" t="s">
        <v>26</v>
      </c>
      <c r="AA9" s="100"/>
      <c r="AB9" s="100"/>
      <c r="AC9" s="100"/>
      <c r="AD9" s="100"/>
      <c r="AE9" s="100"/>
      <c r="AF9" s="100"/>
      <c r="AG9" s="100"/>
      <c r="AH9" s="100"/>
      <c r="AI9" s="100"/>
      <c r="AJ9" s="100"/>
      <c r="AK9" s="100"/>
      <c r="AL9" s="100"/>
      <c r="AM9" s="100"/>
      <c r="AN9" s="101"/>
      <c r="AO9" s="95" t="s">
        <v>25</v>
      </c>
      <c r="AP9" s="96"/>
      <c r="AQ9" s="96"/>
      <c r="AR9" s="96"/>
      <c r="AS9" s="96"/>
      <c r="AT9" s="96"/>
      <c r="AU9" s="96"/>
      <c r="AV9" s="96"/>
      <c r="AW9" s="96"/>
      <c r="AX9" s="96"/>
      <c r="AY9" s="96"/>
      <c r="AZ9" s="96"/>
      <c r="BA9" s="96"/>
      <c r="BB9" s="96"/>
      <c r="BC9" s="96"/>
      <c r="BD9" s="96"/>
      <c r="BE9" s="96"/>
      <c r="BF9" s="96"/>
      <c r="BG9" s="97"/>
      <c r="BH9" s="93" t="s">
        <v>22</v>
      </c>
      <c r="BI9" s="94"/>
      <c r="BJ9" s="15"/>
    </row>
    <row r="10" spans="1:62" s="2" customFormat="1" ht="57" customHeight="1" thickBot="1">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9" t="s">
        <v>38</v>
      </c>
      <c r="S10" s="4" t="s">
        <v>8</v>
      </c>
      <c r="T10" s="60" t="s">
        <v>7</v>
      </c>
      <c r="U10" s="60"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4"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4" t="s">
        <v>56</v>
      </c>
      <c r="BD10" s="4" t="s">
        <v>24</v>
      </c>
      <c r="BE10" s="4" t="s">
        <v>39</v>
      </c>
      <c r="BF10" s="4" t="s">
        <v>40</v>
      </c>
      <c r="BG10" s="4" t="s">
        <v>23</v>
      </c>
      <c r="BH10" s="4" t="s">
        <v>1</v>
      </c>
      <c r="BI10" s="3" t="s">
        <v>0</v>
      </c>
      <c r="BJ10" s="5" t="s">
        <v>21</v>
      </c>
    </row>
    <row r="11" spans="1:62" s="29" customFormat="1" ht="330">
      <c r="A11" s="37">
        <v>25</v>
      </c>
      <c r="B11" s="37" t="s">
        <v>74</v>
      </c>
      <c r="C11" s="37" t="s">
        <v>75</v>
      </c>
      <c r="D11" s="37" t="s">
        <v>76</v>
      </c>
      <c r="E11" s="37" t="s">
        <v>77</v>
      </c>
      <c r="F11" s="37" t="s">
        <v>78</v>
      </c>
      <c r="G11" s="37" t="s">
        <v>79</v>
      </c>
      <c r="H11" s="37">
        <v>330105300</v>
      </c>
      <c r="I11" s="37" t="s">
        <v>80</v>
      </c>
      <c r="J11" s="38">
        <v>82</v>
      </c>
      <c r="K11" s="37" t="s">
        <v>81</v>
      </c>
      <c r="L11" s="37" t="s">
        <v>135</v>
      </c>
      <c r="M11" s="38">
        <v>100</v>
      </c>
      <c r="N11" s="37">
        <v>15</v>
      </c>
      <c r="O11" s="22">
        <v>15</v>
      </c>
      <c r="P11" s="23">
        <f>+Tabla1[[#This Row],[Meta Ejecutada Vigencia4]]/Tabla1[[#This Row],[Meta Programada Vigencia]]</f>
        <v>1</v>
      </c>
      <c r="Q11" s="24">
        <f>+Tabla1[[#This Row],[Meta Ejecutada Vigencia4]]/Tabla1[[#This Row],[Meta Programada Cuatrienio3]]</f>
        <v>0.15</v>
      </c>
      <c r="R11" s="46">
        <v>2024680010174</v>
      </c>
      <c r="S11" s="22" t="s">
        <v>142</v>
      </c>
      <c r="T11" s="61">
        <v>1000000000</v>
      </c>
      <c r="U11" s="61">
        <v>250000000</v>
      </c>
      <c r="V11" s="22" t="s">
        <v>143</v>
      </c>
      <c r="W11" s="22" t="s">
        <v>144</v>
      </c>
      <c r="X11" s="22" t="s">
        <v>145</v>
      </c>
      <c r="Y11" s="22" t="s">
        <v>146</v>
      </c>
      <c r="Z11" s="27">
        <f>Tabla1[[#This Row],[Valor Vigencia Proyecto]]</f>
        <v>250000000</v>
      </c>
      <c r="AA11" s="25"/>
      <c r="AB11" s="25"/>
      <c r="AC11" s="25"/>
      <c r="AD11" s="25"/>
      <c r="AE11" s="25"/>
      <c r="AF11" s="25"/>
      <c r="AG11" s="25"/>
      <c r="AH11" s="25"/>
      <c r="AI11" s="25"/>
      <c r="AJ11" s="25"/>
      <c r="AK11" s="25"/>
      <c r="AL11" s="25"/>
      <c r="AM11" s="25"/>
      <c r="AN11" s="26">
        <f>SUM(Tabla1[[#This Row],[Recursos propios 2024]:[Otros 2024]])</f>
        <v>250000000</v>
      </c>
      <c r="AO11" s="27">
        <v>250000000</v>
      </c>
      <c r="AP11" s="25"/>
      <c r="AQ11" s="25"/>
      <c r="AR11" s="25"/>
      <c r="AS11" s="25"/>
      <c r="AT11" s="25"/>
      <c r="AU11" s="25"/>
      <c r="AV11" s="25"/>
      <c r="AW11" s="25"/>
      <c r="AX11" s="25"/>
      <c r="AY11" s="25"/>
      <c r="AZ11" s="25"/>
      <c r="BA11" s="25"/>
      <c r="BB11" s="25"/>
      <c r="BC11" s="26">
        <f>SUM(Tabla1[[#This Row],[Recursos propios 20242]:[Otros 202415]])</f>
        <v>250000000</v>
      </c>
      <c r="BD11" s="24">
        <f>+Tabla1[[#This Row],[Total Comprometido 2024]]/Tabla1[[#This Row],[Total 2024]]</f>
        <v>1</v>
      </c>
      <c r="BE11" s="70">
        <f>Tabla1[[#This Row],[Total Recursos Pagados]]</f>
        <v>87208333</v>
      </c>
      <c r="BF11" s="70">
        <v>87208333</v>
      </c>
      <c r="BG11" s="25"/>
      <c r="BH11" s="37" t="s">
        <v>140</v>
      </c>
      <c r="BI11" s="28" t="s">
        <v>141</v>
      </c>
      <c r="BJ11" s="37" t="s">
        <v>137</v>
      </c>
    </row>
    <row r="12" spans="1:62" s="33" customFormat="1" ht="126">
      <c r="A12" s="37">
        <v>74</v>
      </c>
      <c r="B12" s="37" t="s">
        <v>82</v>
      </c>
      <c r="C12" s="37" t="s">
        <v>83</v>
      </c>
      <c r="D12" s="37" t="s">
        <v>84</v>
      </c>
      <c r="E12" s="37" t="s">
        <v>85</v>
      </c>
      <c r="F12" s="37" t="s">
        <v>86</v>
      </c>
      <c r="G12" s="37" t="s">
        <v>87</v>
      </c>
      <c r="H12" s="37">
        <v>350204600</v>
      </c>
      <c r="I12" s="37" t="s">
        <v>88</v>
      </c>
      <c r="J12" s="38">
        <v>3</v>
      </c>
      <c r="K12" s="37" t="s">
        <v>81</v>
      </c>
      <c r="L12" s="37" t="s">
        <v>135</v>
      </c>
      <c r="M12" s="38">
        <v>7</v>
      </c>
      <c r="N12" s="37">
        <v>2</v>
      </c>
      <c r="O12" s="30">
        <v>2</v>
      </c>
      <c r="P12" s="31">
        <f>+Tabla1[[#This Row],[Meta Ejecutada Vigencia4]]/Tabla1[[#This Row],[Meta Programada Vigencia]]</f>
        <v>1</v>
      </c>
      <c r="Q12" s="31">
        <f>+Tabla1[[#This Row],[Meta Ejecutada Vigencia4]]/Tabla1[[#This Row],[Meta Programada Cuatrienio3]]</f>
        <v>0.2857142857142857</v>
      </c>
      <c r="R12" s="50">
        <v>2024680010151</v>
      </c>
      <c r="S12" s="34" t="s">
        <v>147</v>
      </c>
      <c r="T12" s="62">
        <v>7856190000</v>
      </c>
      <c r="U12" s="62">
        <v>6471128831.7200003</v>
      </c>
      <c r="V12" s="30" t="s">
        <v>148</v>
      </c>
      <c r="W12" s="34" t="s">
        <v>144</v>
      </c>
      <c r="X12" s="84" t="s">
        <v>172</v>
      </c>
      <c r="Y12" s="22" t="s">
        <v>173</v>
      </c>
      <c r="Z12" s="27">
        <f>Tabla1[[#This Row],[Valor Vigencia Proyecto]]</f>
        <v>6471128831.7200003</v>
      </c>
      <c r="AA12" s="27"/>
      <c r="AB12" s="27"/>
      <c r="AC12" s="27"/>
      <c r="AD12" s="27"/>
      <c r="AE12" s="27"/>
      <c r="AF12" s="27"/>
      <c r="AG12" s="27"/>
      <c r="AH12" s="27"/>
      <c r="AI12" s="27"/>
      <c r="AJ12" s="27"/>
      <c r="AK12" s="27"/>
      <c r="AL12" s="27"/>
      <c r="AM12" s="27"/>
      <c r="AN12" s="26">
        <f>SUM(Tabla1[[#This Row],[Recursos propios 2024]:[Otros 2024]])</f>
        <v>6471128831.7200003</v>
      </c>
      <c r="AO12" s="67">
        <v>6462666499</v>
      </c>
      <c r="AP12" s="27"/>
      <c r="AQ12" s="27"/>
      <c r="AR12" s="27"/>
      <c r="AS12" s="27"/>
      <c r="AT12" s="27"/>
      <c r="AU12" s="27"/>
      <c r="AV12" s="27"/>
      <c r="AW12" s="27"/>
      <c r="AX12" s="27"/>
      <c r="AY12" s="27"/>
      <c r="AZ12" s="27"/>
      <c r="BA12" s="27"/>
      <c r="BB12" s="27"/>
      <c r="BC12" s="26">
        <f>SUM(Tabla1[[#This Row],[Recursos propios 20242]:[Otros 202415]])</f>
        <v>6462666499</v>
      </c>
      <c r="BD12" s="24">
        <f>+Tabla1[[#This Row],[Total Comprometido 2024]]/Tabla1[[#This Row],[Total 2024]]</f>
        <v>0.9986922941978037</v>
      </c>
      <c r="BE12" s="70">
        <f>Tabla1[[#This Row],[Total Recursos Pagados]]</f>
        <v>5202832399.8000002</v>
      </c>
      <c r="BF12" s="27">
        <v>5202832399.8000002</v>
      </c>
      <c r="BG12" s="27"/>
      <c r="BH12" s="37" t="s">
        <v>140</v>
      </c>
      <c r="BI12" s="28" t="s">
        <v>141</v>
      </c>
      <c r="BJ12" s="37" t="s">
        <v>138</v>
      </c>
    </row>
    <row r="13" spans="1:62" s="33" customFormat="1" ht="60">
      <c r="A13" s="41"/>
      <c r="B13" s="41"/>
      <c r="C13" s="41"/>
      <c r="D13" s="41"/>
      <c r="E13" s="41"/>
      <c r="F13" s="41"/>
      <c r="G13" s="41"/>
      <c r="H13" s="41"/>
      <c r="I13" s="41"/>
      <c r="J13" s="42"/>
      <c r="K13" s="41"/>
      <c r="L13" s="41"/>
      <c r="M13" s="42"/>
      <c r="N13" s="41"/>
      <c r="O13" s="43"/>
      <c r="P13" s="44"/>
      <c r="Q13" s="44"/>
      <c r="R13" s="51">
        <v>20246800010120</v>
      </c>
      <c r="S13" s="53" t="s">
        <v>149</v>
      </c>
      <c r="T13" s="63">
        <v>500000000</v>
      </c>
      <c r="U13" s="63">
        <v>233103150</v>
      </c>
      <c r="V13" s="43" t="s">
        <v>150</v>
      </c>
      <c r="W13" s="53" t="s">
        <v>151</v>
      </c>
      <c r="X13" s="43" t="s">
        <v>174</v>
      </c>
      <c r="Y13" s="53" t="s">
        <v>175</v>
      </c>
      <c r="Z13" s="27">
        <f>Tabla1[[#This Row],[Valor Vigencia Proyecto]]</f>
        <v>233103150</v>
      </c>
      <c r="AA13" s="45"/>
      <c r="AB13" s="45"/>
      <c r="AC13" s="32"/>
      <c r="AD13" s="32"/>
      <c r="AE13" s="32"/>
      <c r="AF13" s="32"/>
      <c r="AG13" s="32"/>
      <c r="AH13" s="32"/>
      <c r="AI13" s="32"/>
      <c r="AJ13" s="32"/>
      <c r="AK13" s="32"/>
      <c r="AL13" s="32"/>
      <c r="AM13" s="45"/>
      <c r="AN13" s="26">
        <f>SUM(Tabla1[[#This Row],[Recursos propios 2024]:[Otros 2024]])</f>
        <v>233103150</v>
      </c>
      <c r="AO13" s="45">
        <v>230100137</v>
      </c>
      <c r="AP13" s="45"/>
      <c r="AQ13" s="45"/>
      <c r="AR13" s="32"/>
      <c r="AS13" s="32"/>
      <c r="AT13" s="32"/>
      <c r="AU13" s="32"/>
      <c r="AV13" s="32"/>
      <c r="AW13" s="32"/>
      <c r="AX13" s="32"/>
      <c r="AY13" s="32"/>
      <c r="AZ13" s="32"/>
      <c r="BA13" s="32"/>
      <c r="BB13" s="45"/>
      <c r="BC13" s="26">
        <f>SUM(Tabla1[[#This Row],[Recursos propios 20242]:[Otros 202415]])</f>
        <v>230100137</v>
      </c>
      <c r="BD13" s="24">
        <f>+Tabla1[[#This Row],[Total Comprometido 2024]]/Tabla1[[#This Row],[Total 2024]]</f>
        <v>0.98711723543847429</v>
      </c>
      <c r="BE13" s="70">
        <f>Tabla1[[#This Row],[Total Recursos Pagados]]</f>
        <v>63650000</v>
      </c>
      <c r="BF13" s="32">
        <v>63650000</v>
      </c>
      <c r="BG13" s="45"/>
      <c r="BH13" s="41"/>
      <c r="BI13" s="41"/>
      <c r="BJ13" s="41"/>
    </row>
    <row r="14" spans="1:62" s="33" customFormat="1" ht="120">
      <c r="A14" s="39">
        <v>75</v>
      </c>
      <c r="B14" s="39" t="s">
        <v>82</v>
      </c>
      <c r="C14" s="39" t="s">
        <v>83</v>
      </c>
      <c r="D14" s="39" t="s">
        <v>84</v>
      </c>
      <c r="E14" s="39" t="s">
        <v>85</v>
      </c>
      <c r="F14" s="39" t="s">
        <v>89</v>
      </c>
      <c r="G14" s="39" t="s">
        <v>90</v>
      </c>
      <c r="H14" s="39">
        <v>350204900</v>
      </c>
      <c r="I14" s="39" t="s">
        <v>91</v>
      </c>
      <c r="J14" s="39">
        <v>2</v>
      </c>
      <c r="K14" s="39" t="s">
        <v>81</v>
      </c>
      <c r="L14" s="39" t="s">
        <v>135</v>
      </c>
      <c r="M14" s="39">
        <v>5</v>
      </c>
      <c r="N14" s="39">
        <v>1</v>
      </c>
      <c r="O14" s="22">
        <v>1</v>
      </c>
      <c r="P14" s="31">
        <f>+Tabla1[[#This Row],[Meta Ejecutada Vigencia4]]/Tabla1[[#This Row],[Meta Programada Vigencia]]</f>
        <v>1</v>
      </c>
      <c r="Q14" s="31">
        <f>+Tabla1[[#This Row],[Meta Ejecutada Vigencia4]]/Tabla1[[#This Row],[Meta Programada Cuatrienio3]]</f>
        <v>0.2</v>
      </c>
      <c r="R14" s="50">
        <v>2024680010153</v>
      </c>
      <c r="S14" s="34" t="s">
        <v>152</v>
      </c>
      <c r="T14" s="62">
        <v>1000000000</v>
      </c>
      <c r="U14" s="62">
        <v>74156860.659999996</v>
      </c>
      <c r="V14" s="34" t="s">
        <v>176</v>
      </c>
      <c r="W14" s="34" t="s">
        <v>177</v>
      </c>
      <c r="X14" s="30">
        <v>50</v>
      </c>
      <c r="Y14" s="22" t="s">
        <v>178</v>
      </c>
      <c r="Z14" s="27">
        <f>Tabla1[[#This Row],[Valor Vigencia Proyecto]]</f>
        <v>74156860.659999996</v>
      </c>
      <c r="AA14" s="27"/>
      <c r="AB14" s="27"/>
      <c r="AC14" s="27"/>
      <c r="AD14" s="27"/>
      <c r="AE14" s="27"/>
      <c r="AF14" s="27"/>
      <c r="AG14" s="27"/>
      <c r="AH14" s="27"/>
      <c r="AI14" s="27"/>
      <c r="AJ14" s="27"/>
      <c r="AK14" s="27"/>
      <c r="AL14" s="27"/>
      <c r="AM14" s="27"/>
      <c r="AN14" s="26">
        <f>SUM(Tabla1[[#This Row],[Recursos propios 2024]:[Otros 2024]])</f>
        <v>74156860.659999996</v>
      </c>
      <c r="AO14" s="68">
        <v>74156860.659999996</v>
      </c>
      <c r="AP14" s="27"/>
      <c r="AQ14" s="27"/>
      <c r="AR14" s="27"/>
      <c r="AS14" s="27"/>
      <c r="AT14" s="27"/>
      <c r="AU14" s="27"/>
      <c r="AV14" s="27"/>
      <c r="AW14" s="27"/>
      <c r="AX14" s="27"/>
      <c r="AY14" s="27"/>
      <c r="AZ14" s="27"/>
      <c r="BA14" s="27"/>
      <c r="BB14" s="27"/>
      <c r="BC14" s="26">
        <f>SUM(Tabla1[[#This Row],[Recursos propios 20242]:[Otros 202415]])</f>
        <v>74156860.659999996</v>
      </c>
      <c r="BD14" s="24">
        <f>+Tabla1[[#This Row],[Total Comprometido 2024]]/Tabla1[[#This Row],[Total 2024]]</f>
        <v>1</v>
      </c>
      <c r="BE14" s="70">
        <f>Tabla1[[#This Row],[Total Recursos Pagados]]</f>
        <v>29750000</v>
      </c>
      <c r="BF14" s="56">
        <v>29750000</v>
      </c>
      <c r="BG14" s="27"/>
      <c r="BH14" s="39" t="s">
        <v>140</v>
      </c>
      <c r="BI14" s="28" t="s">
        <v>141</v>
      </c>
      <c r="BJ14" s="39" t="s">
        <v>138</v>
      </c>
    </row>
    <row r="15" spans="1:62" s="33" customFormat="1" ht="150">
      <c r="A15" s="37">
        <v>76</v>
      </c>
      <c r="B15" s="37" t="s">
        <v>82</v>
      </c>
      <c r="C15" s="37" t="s">
        <v>83</v>
      </c>
      <c r="D15" s="37" t="s">
        <v>84</v>
      </c>
      <c r="E15" s="37" t="s">
        <v>85</v>
      </c>
      <c r="F15" s="37" t="s">
        <v>92</v>
      </c>
      <c r="G15" s="37" t="s">
        <v>93</v>
      </c>
      <c r="H15" s="37">
        <v>350211400</v>
      </c>
      <c r="I15" s="37" t="s">
        <v>94</v>
      </c>
      <c r="J15" s="38">
        <v>4</v>
      </c>
      <c r="K15" s="37" t="s">
        <v>81</v>
      </c>
      <c r="L15" s="37" t="s">
        <v>135</v>
      </c>
      <c r="M15" s="38">
        <v>8</v>
      </c>
      <c r="N15" s="37">
        <v>1</v>
      </c>
      <c r="O15" s="22">
        <v>1</v>
      </c>
      <c r="P15" s="31">
        <f>+Tabla1[[#This Row],[Meta Ejecutada Vigencia4]]/Tabla1[[#This Row],[Meta Programada Vigencia]]</f>
        <v>1</v>
      </c>
      <c r="Q15" s="31">
        <f>+Tabla1[[#This Row],[Meta Ejecutada Vigencia4]]/Tabla1[[#This Row],[Meta Programada Cuatrienio3]]</f>
        <v>0.125</v>
      </c>
      <c r="R15" s="50">
        <v>2024680010153</v>
      </c>
      <c r="S15" s="34" t="s">
        <v>152</v>
      </c>
      <c r="T15" s="62"/>
      <c r="U15" s="62">
        <f>53072287+3277688</f>
        <v>56349975</v>
      </c>
      <c r="V15" s="34" t="s">
        <v>153</v>
      </c>
      <c r="W15" s="34" t="s">
        <v>180</v>
      </c>
      <c r="X15" s="30">
        <v>4</v>
      </c>
      <c r="Y15" s="22" t="s">
        <v>179</v>
      </c>
      <c r="Z15" s="27">
        <f>Tabla1[[#This Row],[Valor Vigencia Proyecto]]</f>
        <v>56349975</v>
      </c>
      <c r="AA15" s="27"/>
      <c r="AB15" s="27"/>
      <c r="AC15" s="27"/>
      <c r="AD15" s="27"/>
      <c r="AE15" s="27"/>
      <c r="AF15" s="27"/>
      <c r="AG15" s="27"/>
      <c r="AH15" s="27"/>
      <c r="AI15" s="27"/>
      <c r="AJ15" s="27"/>
      <c r="AK15" s="27"/>
      <c r="AL15" s="27"/>
      <c r="AM15" s="27"/>
      <c r="AN15" s="26">
        <f>SUM(Tabla1[[#This Row],[Recursos propios 2024]:[Otros 2024]])</f>
        <v>56349975</v>
      </c>
      <c r="AO15" s="68">
        <f>47126375.34+3277688</f>
        <v>50404063.340000004</v>
      </c>
      <c r="AP15" s="27"/>
      <c r="AQ15" s="27"/>
      <c r="AR15" s="27"/>
      <c r="AS15" s="27"/>
      <c r="AT15" s="27"/>
      <c r="AU15" s="27"/>
      <c r="AV15" s="27"/>
      <c r="AW15" s="27"/>
      <c r="AX15" s="27"/>
      <c r="AY15" s="27"/>
      <c r="AZ15" s="27"/>
      <c r="BA15" s="27"/>
      <c r="BB15" s="27"/>
      <c r="BC15" s="26">
        <f>SUM(Tabla1[[#This Row],[Recursos propios 20242]:[Otros 202415]])</f>
        <v>50404063.340000004</v>
      </c>
      <c r="BD15" s="24">
        <f>+Tabla1[[#This Row],[Total Comprometido 2024]]/Tabla1[[#This Row],[Total 2024]]</f>
        <v>0.89448244369229979</v>
      </c>
      <c r="BE15" s="70">
        <f>Tabla1[[#This Row],[Total Recursos Pagados]]</f>
        <v>8250000</v>
      </c>
      <c r="BF15" s="68">
        <v>8250000</v>
      </c>
      <c r="BG15" s="27"/>
      <c r="BH15" s="37" t="s">
        <v>140</v>
      </c>
      <c r="BI15" s="28" t="s">
        <v>141</v>
      </c>
      <c r="BJ15" s="37" t="s">
        <v>138</v>
      </c>
    </row>
    <row r="16" spans="1:62" s="33" customFormat="1" ht="324">
      <c r="A16" s="39">
        <v>139</v>
      </c>
      <c r="B16" s="39" t="s">
        <v>95</v>
      </c>
      <c r="C16" s="39" t="s">
        <v>75</v>
      </c>
      <c r="D16" s="39" t="s">
        <v>76</v>
      </c>
      <c r="E16" s="39" t="s">
        <v>77</v>
      </c>
      <c r="F16" s="39" t="s">
        <v>96</v>
      </c>
      <c r="G16" s="39" t="s">
        <v>97</v>
      </c>
      <c r="H16" s="39">
        <v>330105400</v>
      </c>
      <c r="I16" s="39" t="s">
        <v>98</v>
      </c>
      <c r="J16" s="39">
        <v>610</v>
      </c>
      <c r="K16" s="39" t="s">
        <v>81</v>
      </c>
      <c r="L16" s="39" t="s">
        <v>135</v>
      </c>
      <c r="M16" s="39">
        <v>1000</v>
      </c>
      <c r="N16" s="39">
        <v>170</v>
      </c>
      <c r="O16" s="34">
        <v>170</v>
      </c>
      <c r="P16" s="35">
        <f>+Tabla1[[#This Row],[Meta Ejecutada Vigencia4]]/Tabla1[[#This Row],[Meta Programada Vigencia]]</f>
        <v>1</v>
      </c>
      <c r="Q16" s="35">
        <f>+Tabla1[[#This Row],[Meta Ejecutada Vigencia4]]/Tabla1[[#This Row],[Meta Programada Cuatrienio3]]</f>
        <v>0.17</v>
      </c>
      <c r="R16" s="52">
        <v>2024680010121</v>
      </c>
      <c r="S16" s="34" t="s">
        <v>154</v>
      </c>
      <c r="T16" s="64">
        <v>17947562663</v>
      </c>
      <c r="U16" s="64">
        <v>5056391960.79</v>
      </c>
      <c r="V16" s="34" t="s">
        <v>155</v>
      </c>
      <c r="W16" s="34" t="s">
        <v>181</v>
      </c>
      <c r="X16" s="34" t="s">
        <v>183</v>
      </c>
      <c r="Y16" s="22" t="s">
        <v>182</v>
      </c>
      <c r="Z16" s="27">
        <f>Tabla1[[#This Row],[Valor Vigencia Proyecto]]</f>
        <v>5056391960.79</v>
      </c>
      <c r="AA16" s="36"/>
      <c r="AB16" s="36"/>
      <c r="AC16" s="36"/>
      <c r="AD16" s="36"/>
      <c r="AE16" s="36"/>
      <c r="AF16" s="36"/>
      <c r="AG16" s="36"/>
      <c r="AH16" s="36"/>
      <c r="AI16" s="36"/>
      <c r="AJ16" s="36"/>
      <c r="AK16" s="36"/>
      <c r="AL16" s="36"/>
      <c r="AM16" s="36"/>
      <c r="AN16" s="26">
        <f>SUM(Tabla1[[#This Row],[Recursos propios 2024]:[Otros 2024]])</f>
        <v>5056391960.79</v>
      </c>
      <c r="AO16" s="36">
        <v>3781864838.5999999</v>
      </c>
      <c r="AP16" s="36"/>
      <c r="AQ16" s="36"/>
      <c r="AR16" s="36"/>
      <c r="AS16" s="36"/>
      <c r="AT16" s="36"/>
      <c r="AU16" s="36"/>
      <c r="AV16" s="36"/>
      <c r="AW16" s="36"/>
      <c r="AX16" s="36"/>
      <c r="AY16" s="36"/>
      <c r="AZ16" s="36"/>
      <c r="BA16" s="36"/>
      <c r="BB16" s="36"/>
      <c r="BC16" s="26">
        <f>SUM(Tabla1[[#This Row],[Recursos propios 20242]:[Otros 202415]])</f>
        <v>3781864838.5999999</v>
      </c>
      <c r="BD16" s="24">
        <f>+Tabla1[[#This Row],[Total Comprometido 2024]]/Tabla1[[#This Row],[Total 2024]]</f>
        <v>0.74793743600706331</v>
      </c>
      <c r="BE16" s="70">
        <f>Tabla1[[#This Row],[Total Recursos Pagados]]</f>
        <v>3318615005.5999999</v>
      </c>
      <c r="BF16" s="70">
        <v>3318615005.5999999</v>
      </c>
      <c r="BG16" s="36"/>
      <c r="BH16" s="39" t="s">
        <v>140</v>
      </c>
      <c r="BI16" s="28" t="s">
        <v>141</v>
      </c>
      <c r="BJ16" s="39" t="s">
        <v>139</v>
      </c>
    </row>
    <row r="17" spans="1:62" s="33" customFormat="1" ht="120">
      <c r="A17" s="41"/>
      <c r="B17" s="41"/>
      <c r="C17" s="41"/>
      <c r="D17" s="41"/>
      <c r="E17" s="41"/>
      <c r="F17" s="41"/>
      <c r="G17" s="41"/>
      <c r="H17" s="41"/>
      <c r="I17" s="41"/>
      <c r="J17" s="41"/>
      <c r="K17" s="41"/>
      <c r="L17" s="41"/>
      <c r="M17" s="41"/>
      <c r="N17" s="41"/>
      <c r="O17" s="43"/>
      <c r="P17" s="44"/>
      <c r="Q17" s="44"/>
      <c r="R17" s="57">
        <v>2024680010152</v>
      </c>
      <c r="S17" s="55" t="s">
        <v>168</v>
      </c>
      <c r="T17" s="56">
        <v>1551291350.47</v>
      </c>
      <c r="U17" s="56">
        <v>1401291350.47</v>
      </c>
      <c r="V17" s="74" t="s">
        <v>155</v>
      </c>
      <c r="W17" s="55" t="s">
        <v>169</v>
      </c>
      <c r="X17" s="43" t="s">
        <v>184</v>
      </c>
      <c r="Y17" s="53" t="s">
        <v>185</v>
      </c>
      <c r="Z17" s="27">
        <f>Tabla1[[#This Row],[Valor Vigencia Proyecto]]</f>
        <v>1401291350.47</v>
      </c>
      <c r="AA17" s="45"/>
      <c r="AB17" s="45"/>
      <c r="AC17" s="32"/>
      <c r="AD17" s="32"/>
      <c r="AE17" s="32"/>
      <c r="AF17" s="32"/>
      <c r="AG17" s="32"/>
      <c r="AH17" s="32"/>
      <c r="AI17" s="32"/>
      <c r="AJ17" s="32"/>
      <c r="AK17" s="32"/>
      <c r="AL17" s="32"/>
      <c r="AM17" s="45"/>
      <c r="AN17" s="26">
        <f>SUM(Tabla1[[#This Row],[Recursos propios 2024]:[Otros 2024]])</f>
        <v>1401291350.47</v>
      </c>
      <c r="AO17" s="45">
        <v>1151291350.47</v>
      </c>
      <c r="AP17" s="45"/>
      <c r="AQ17" s="45"/>
      <c r="AR17" s="32"/>
      <c r="AS17" s="32"/>
      <c r="AT17" s="32"/>
      <c r="AU17" s="32"/>
      <c r="AV17" s="32"/>
      <c r="AW17" s="32"/>
      <c r="AX17" s="32"/>
      <c r="AY17" s="32"/>
      <c r="AZ17" s="32"/>
      <c r="BA17" s="32"/>
      <c r="BB17" s="45"/>
      <c r="BC17" s="26">
        <f>SUM(Tabla1[[#This Row],[Recursos propios 20242]:[Otros 202415]])</f>
        <v>1151291350.47</v>
      </c>
      <c r="BD17" s="24">
        <f>+Tabla1[[#This Row],[Total Comprometido 2024]]/Tabla1[[#This Row],[Total 2024]]</f>
        <v>0.82159313270852008</v>
      </c>
      <c r="BE17" s="70">
        <f>Tabla1[[#This Row],[Total Recursos Pagados]]</f>
        <v>1146791344</v>
      </c>
      <c r="BF17" s="71">
        <v>1146791344</v>
      </c>
      <c r="BG17" s="45"/>
      <c r="BH17" s="41"/>
      <c r="BI17" s="41"/>
      <c r="BJ17" s="41"/>
    </row>
    <row r="18" spans="1:62" s="33" customFormat="1" ht="144">
      <c r="A18" s="37">
        <v>140</v>
      </c>
      <c r="B18" s="37" t="s">
        <v>95</v>
      </c>
      <c r="C18" s="37" t="s">
        <v>75</v>
      </c>
      <c r="D18" s="37" t="s">
        <v>76</v>
      </c>
      <c r="E18" s="37" t="s">
        <v>77</v>
      </c>
      <c r="F18" s="37" t="s">
        <v>99</v>
      </c>
      <c r="G18" s="37" t="s">
        <v>100</v>
      </c>
      <c r="H18" s="37">
        <v>330107300</v>
      </c>
      <c r="I18" s="37" t="s">
        <v>101</v>
      </c>
      <c r="J18" s="38">
        <v>2</v>
      </c>
      <c r="K18" s="37" t="s">
        <v>81</v>
      </c>
      <c r="L18" s="37" t="s">
        <v>135</v>
      </c>
      <c r="M18" s="38">
        <v>3</v>
      </c>
      <c r="N18" s="37">
        <v>0</v>
      </c>
      <c r="O18" s="30"/>
      <c r="P18" s="31" t="e">
        <f>+Tabla1[[#This Row],[Meta Ejecutada Vigencia4]]/Tabla1[[#This Row],[Meta Programada Vigencia]]</f>
        <v>#DIV/0!</v>
      </c>
      <c r="Q18" s="31">
        <f>+Tabla1[[#This Row],[Meta Ejecutada Vigencia4]]/Tabla1[[#This Row],[Meta Programada Cuatrienio3]]</f>
        <v>0</v>
      </c>
      <c r="R18" s="50"/>
      <c r="S18" s="30"/>
      <c r="T18" s="62"/>
      <c r="U18" s="62"/>
      <c r="V18" s="30"/>
      <c r="W18" s="30"/>
      <c r="X18" s="30"/>
      <c r="Y18" s="30"/>
      <c r="Z18" s="27">
        <f>Tabla1[[#This Row],[Valor Vigencia Proyecto]]</f>
        <v>0</v>
      </c>
      <c r="AA18" s="27"/>
      <c r="AB18" s="27"/>
      <c r="AC18" s="27"/>
      <c r="AD18" s="27"/>
      <c r="AE18" s="27"/>
      <c r="AF18" s="27"/>
      <c r="AG18" s="27"/>
      <c r="AH18" s="27"/>
      <c r="AI18" s="27"/>
      <c r="AJ18" s="27"/>
      <c r="AK18" s="27"/>
      <c r="AL18" s="27"/>
      <c r="AM18" s="27"/>
      <c r="AN18" s="26">
        <f>SUM(Tabla1[[#This Row],[Recursos propios 2024]:[Otros 2024]])</f>
        <v>0</v>
      </c>
      <c r="AO18" s="27"/>
      <c r="AP18" s="27"/>
      <c r="AQ18" s="27"/>
      <c r="AR18" s="27"/>
      <c r="AS18" s="27"/>
      <c r="AT18" s="27"/>
      <c r="AU18" s="27"/>
      <c r="AV18" s="27"/>
      <c r="AW18" s="27"/>
      <c r="AX18" s="27"/>
      <c r="AY18" s="27"/>
      <c r="AZ18" s="27"/>
      <c r="BA18" s="27"/>
      <c r="BB18" s="27"/>
      <c r="BC18" s="26">
        <f>SUM(Tabla1[[#This Row],[Recursos propios 20242]:[Otros 202415]])</f>
        <v>0</v>
      </c>
      <c r="BD18" s="24" t="e">
        <f>+Tabla1[[#This Row],[Total Comprometido 2024]]/Tabla1[[#This Row],[Total 2024]]</f>
        <v>#DIV/0!</v>
      </c>
      <c r="BE18" s="70">
        <f>Tabla1[[#This Row],[Total Recursos Pagados]]</f>
        <v>0</v>
      </c>
      <c r="BF18" s="27"/>
      <c r="BG18" s="27"/>
      <c r="BH18" s="37" t="s">
        <v>140</v>
      </c>
      <c r="BI18" s="28" t="s">
        <v>141</v>
      </c>
      <c r="BJ18" s="37" t="s">
        <v>139</v>
      </c>
    </row>
    <row r="19" spans="1:62" s="33" customFormat="1" ht="180">
      <c r="A19" s="39">
        <v>141</v>
      </c>
      <c r="B19" s="39" t="s">
        <v>95</v>
      </c>
      <c r="C19" s="39" t="s">
        <v>75</v>
      </c>
      <c r="D19" s="39" t="s">
        <v>76</v>
      </c>
      <c r="E19" s="39" t="s">
        <v>77</v>
      </c>
      <c r="F19" s="39" t="s">
        <v>102</v>
      </c>
      <c r="G19" s="39" t="s">
        <v>103</v>
      </c>
      <c r="H19" s="39">
        <v>330112900</v>
      </c>
      <c r="I19" s="39" t="s">
        <v>104</v>
      </c>
      <c r="J19" s="39">
        <v>1</v>
      </c>
      <c r="K19" s="39" t="s">
        <v>81</v>
      </c>
      <c r="L19" s="39" t="s">
        <v>135</v>
      </c>
      <c r="M19" s="39">
        <v>5</v>
      </c>
      <c r="N19" s="39">
        <v>1</v>
      </c>
      <c r="O19" s="34">
        <v>1</v>
      </c>
      <c r="P19" s="35">
        <f>+Tabla1[[#This Row],[Meta Ejecutada Vigencia4]]/Tabla1[[#This Row],[Meta Programada Vigencia]]</f>
        <v>1</v>
      </c>
      <c r="Q19" s="35">
        <f>+Tabla1[[#This Row],[Meta Ejecutada Vigencia4]]/Tabla1[[#This Row],[Meta Programada Cuatrienio3]]</f>
        <v>0.2</v>
      </c>
      <c r="R19" s="52">
        <v>2024680010176</v>
      </c>
      <c r="S19" s="34" t="s">
        <v>156</v>
      </c>
      <c r="T19" s="64">
        <v>130618333</v>
      </c>
      <c r="U19" s="64">
        <v>30000000</v>
      </c>
      <c r="V19" s="34" t="s">
        <v>187</v>
      </c>
      <c r="W19" s="34" t="s">
        <v>188</v>
      </c>
      <c r="X19" s="34" t="s">
        <v>189</v>
      </c>
      <c r="Y19" s="34" t="s">
        <v>186</v>
      </c>
      <c r="Z19" s="27">
        <f>Tabla1[[#This Row],[Valor Vigencia Proyecto]]</f>
        <v>30000000</v>
      </c>
      <c r="AA19" s="36"/>
      <c r="AB19" s="36"/>
      <c r="AC19" s="36"/>
      <c r="AD19" s="36"/>
      <c r="AE19" s="36"/>
      <c r="AF19" s="36"/>
      <c r="AG19" s="36"/>
      <c r="AH19" s="36"/>
      <c r="AI19" s="36"/>
      <c r="AJ19" s="36"/>
      <c r="AK19" s="36"/>
      <c r="AL19" s="36"/>
      <c r="AM19" s="36"/>
      <c r="AN19" s="26">
        <f>SUM(Tabla1[[#This Row],[Recursos propios 2024]:[Otros 2024]])</f>
        <v>30000000</v>
      </c>
      <c r="AO19" s="36">
        <v>23250000</v>
      </c>
      <c r="AP19" s="36"/>
      <c r="AQ19" s="36"/>
      <c r="AR19" s="36"/>
      <c r="AS19" s="36"/>
      <c r="AT19" s="36"/>
      <c r="AU19" s="36"/>
      <c r="AV19" s="36"/>
      <c r="AW19" s="36"/>
      <c r="AX19" s="36"/>
      <c r="AY19" s="36"/>
      <c r="AZ19" s="36"/>
      <c r="BA19" s="36"/>
      <c r="BB19" s="36"/>
      <c r="BC19" s="26">
        <f>SUM(Tabla1[[#This Row],[Recursos propios 20242]:[Otros 202415]])</f>
        <v>23250000</v>
      </c>
      <c r="BD19" s="24">
        <f>+Tabla1[[#This Row],[Total Comprometido 2024]]/Tabla1[[#This Row],[Total 2024]]</f>
        <v>0.77500000000000002</v>
      </c>
      <c r="BE19" s="70">
        <f>Tabla1[[#This Row],[Total Recursos Pagados]]</f>
        <v>18000000</v>
      </c>
      <c r="BF19" s="36">
        <v>18000000</v>
      </c>
      <c r="BG19" s="36"/>
      <c r="BH19" s="39" t="s">
        <v>140</v>
      </c>
      <c r="BI19" s="28" t="s">
        <v>141</v>
      </c>
      <c r="BJ19" s="39" t="s">
        <v>139</v>
      </c>
    </row>
    <row r="20" spans="1:62" s="33" customFormat="1" ht="409.5">
      <c r="A20" s="37">
        <v>142</v>
      </c>
      <c r="B20" s="37" t="s">
        <v>95</v>
      </c>
      <c r="C20" s="37" t="s">
        <v>75</v>
      </c>
      <c r="D20" s="37" t="s">
        <v>76</v>
      </c>
      <c r="E20" s="37" t="s">
        <v>77</v>
      </c>
      <c r="F20" s="37" t="s">
        <v>105</v>
      </c>
      <c r="G20" s="37" t="s">
        <v>106</v>
      </c>
      <c r="H20" s="37">
        <v>330108700</v>
      </c>
      <c r="I20" s="37" t="s">
        <v>107</v>
      </c>
      <c r="J20" s="38">
        <v>1</v>
      </c>
      <c r="K20" s="37" t="s">
        <v>81</v>
      </c>
      <c r="L20" s="40" t="s">
        <v>214</v>
      </c>
      <c r="M20" s="38">
        <v>2</v>
      </c>
      <c r="N20" s="40">
        <v>2</v>
      </c>
      <c r="O20" s="30">
        <v>2</v>
      </c>
      <c r="P20" s="31">
        <f>+Tabla1[[#This Row],[Meta Ejecutada Vigencia4]]/Tabla1[[#This Row],[Meta Programada Vigencia]]</f>
        <v>1</v>
      </c>
      <c r="Q20" s="31">
        <f>+Tabla1[[#This Row],[Meta Ejecutada Vigencia4]]/Tabla1[[#This Row],[Meta Programada Cuatrienio3]]</f>
        <v>1</v>
      </c>
      <c r="R20" s="50">
        <v>2024680010118</v>
      </c>
      <c r="S20" s="34" t="s">
        <v>157</v>
      </c>
      <c r="T20" s="62">
        <v>9503607738</v>
      </c>
      <c r="U20" s="62">
        <v>1650521843</v>
      </c>
      <c r="V20" s="30" t="s">
        <v>192</v>
      </c>
      <c r="W20" s="34" t="s">
        <v>190</v>
      </c>
      <c r="X20" s="30">
        <v>8500</v>
      </c>
      <c r="Y20" s="34" t="s">
        <v>191</v>
      </c>
      <c r="Z20" s="27">
        <f>Tabla1[[#This Row],[Valor Vigencia Proyecto]]</f>
        <v>1650521843</v>
      </c>
      <c r="AA20" s="27"/>
      <c r="AB20" s="27"/>
      <c r="AC20" s="27"/>
      <c r="AD20" s="27"/>
      <c r="AE20" s="27"/>
      <c r="AF20" s="27"/>
      <c r="AG20" s="27"/>
      <c r="AH20" s="27"/>
      <c r="AI20" s="27"/>
      <c r="AJ20" s="27"/>
      <c r="AK20" s="27"/>
      <c r="AL20" s="27"/>
      <c r="AM20" s="27"/>
      <c r="AN20" s="26">
        <f>SUM(Tabla1[[#This Row],[Recursos propios 2024]:[Otros 2024]])</f>
        <v>1650521843</v>
      </c>
      <c r="AO20" s="27">
        <v>1444325500.8</v>
      </c>
      <c r="AP20" s="27"/>
      <c r="AQ20" s="27"/>
      <c r="AR20" s="27"/>
      <c r="AS20" s="27"/>
      <c r="AT20" s="27"/>
      <c r="AU20" s="27"/>
      <c r="AV20" s="27"/>
      <c r="AW20" s="27"/>
      <c r="AX20" s="27"/>
      <c r="AY20" s="27"/>
      <c r="AZ20" s="27"/>
      <c r="BA20" s="27"/>
      <c r="BB20" s="27"/>
      <c r="BC20" s="26">
        <f>SUM(Tabla1[[#This Row],[Recursos propios 20242]:[Otros 202415]])</f>
        <v>1444325500.8</v>
      </c>
      <c r="BD20" s="24">
        <f>+Tabla1[[#This Row],[Total Comprometido 2024]]/Tabla1[[#This Row],[Total 2024]]</f>
        <v>0.8750720306583667</v>
      </c>
      <c r="BE20" s="70">
        <f>Tabla1[[#This Row],[Total Recursos Pagados]]</f>
        <v>621706478.66999996</v>
      </c>
      <c r="BF20" s="27">
        <v>621706478.66999996</v>
      </c>
      <c r="BG20" s="27"/>
      <c r="BH20" s="37" t="s">
        <v>140</v>
      </c>
      <c r="BI20" s="28" t="s">
        <v>141</v>
      </c>
      <c r="BJ20" s="37">
        <v>4.0999999999999996</v>
      </c>
    </row>
    <row r="21" spans="1:62" s="33" customFormat="1" ht="409.5">
      <c r="A21" s="39">
        <v>143</v>
      </c>
      <c r="B21" s="39" t="s">
        <v>95</v>
      </c>
      <c r="C21" s="39" t="s">
        <v>75</v>
      </c>
      <c r="D21" s="39" t="s">
        <v>76</v>
      </c>
      <c r="E21" s="39" t="s">
        <v>77</v>
      </c>
      <c r="F21" s="39" t="s">
        <v>108</v>
      </c>
      <c r="G21" s="39" t="s">
        <v>109</v>
      </c>
      <c r="H21" s="39">
        <v>330112600</v>
      </c>
      <c r="I21" s="39" t="s">
        <v>110</v>
      </c>
      <c r="J21" s="39">
        <v>1</v>
      </c>
      <c r="K21" s="39" t="s">
        <v>81</v>
      </c>
      <c r="L21" s="40" t="s">
        <v>214</v>
      </c>
      <c r="M21" s="39">
        <v>2</v>
      </c>
      <c r="N21" s="40">
        <v>2</v>
      </c>
      <c r="O21" s="34">
        <v>2</v>
      </c>
      <c r="P21" s="35">
        <f>+Tabla1[[#This Row],[Meta Ejecutada Vigencia4]]/Tabla1[[#This Row],[Meta Programada Vigencia]]</f>
        <v>1</v>
      </c>
      <c r="Q21" s="35">
        <f>+Tabla1[[#This Row],[Meta Ejecutada Vigencia4]]/Tabla1[[#This Row],[Meta Programada Cuatrienio3]]</f>
        <v>1</v>
      </c>
      <c r="R21" s="52">
        <v>2024680010119</v>
      </c>
      <c r="S21" s="34" t="s">
        <v>158</v>
      </c>
      <c r="T21" s="64">
        <v>16284284708.59</v>
      </c>
      <c r="U21" s="64">
        <v>3755983209.4299998</v>
      </c>
      <c r="V21" s="34" t="s">
        <v>193</v>
      </c>
      <c r="W21" s="34" t="s">
        <v>194</v>
      </c>
      <c r="X21" s="34">
        <v>4502</v>
      </c>
      <c r="Y21" s="84" t="s">
        <v>204</v>
      </c>
      <c r="Z21" s="27">
        <f>Tabla1[[#This Row],[Valor Vigencia Proyecto]]</f>
        <v>3755983209.4299998</v>
      </c>
      <c r="AA21" s="36"/>
      <c r="AB21" s="36"/>
      <c r="AC21" s="36"/>
      <c r="AD21" s="36"/>
      <c r="AE21" s="36"/>
      <c r="AF21" s="36"/>
      <c r="AG21" s="36"/>
      <c r="AH21" s="36"/>
      <c r="AI21" s="36"/>
      <c r="AJ21" s="36"/>
      <c r="AK21" s="36"/>
      <c r="AL21" s="36"/>
      <c r="AM21" s="36"/>
      <c r="AN21" s="26">
        <f>SUM(Tabla1[[#This Row],[Recursos propios 2024]:[Otros 2024]])</f>
        <v>3755983209.4299998</v>
      </c>
      <c r="AO21" s="72">
        <v>2743008627</v>
      </c>
      <c r="AP21" s="36"/>
      <c r="AQ21" s="36"/>
      <c r="AR21" s="36"/>
      <c r="AS21" s="36"/>
      <c r="AT21" s="36"/>
      <c r="AU21" s="36"/>
      <c r="AV21" s="36"/>
      <c r="AW21" s="36"/>
      <c r="AX21" s="36"/>
      <c r="AY21" s="36"/>
      <c r="AZ21" s="36"/>
      <c r="BA21" s="36"/>
      <c r="BB21" s="36"/>
      <c r="BC21" s="26">
        <f>SUM(Tabla1[[#This Row],[Recursos propios 20242]:[Otros 202415]])</f>
        <v>2743008627</v>
      </c>
      <c r="BD21" s="24">
        <f>+Tabla1[[#This Row],[Total Comprometido 2024]]/Tabla1[[#This Row],[Total 2024]]</f>
        <v>0.73030375112253854</v>
      </c>
      <c r="BE21" s="70">
        <f>Tabla1[[#This Row],[Total Recursos Pagados]]</f>
        <v>1920705863</v>
      </c>
      <c r="BF21" s="36">
        <v>1920705863</v>
      </c>
      <c r="BG21" s="36"/>
      <c r="BH21" s="39" t="s">
        <v>140</v>
      </c>
      <c r="BI21" s="28" t="s">
        <v>141</v>
      </c>
      <c r="BJ21" s="39" t="s">
        <v>139</v>
      </c>
    </row>
    <row r="22" spans="1:62" s="33" customFormat="1" ht="105">
      <c r="A22" s="41"/>
      <c r="B22" s="41"/>
      <c r="C22" s="41"/>
      <c r="D22" s="41"/>
      <c r="E22" s="41"/>
      <c r="F22" s="41"/>
      <c r="G22" s="41"/>
      <c r="H22" s="41"/>
      <c r="I22" s="41"/>
      <c r="J22" s="41"/>
      <c r="K22" s="41"/>
      <c r="L22" s="41"/>
      <c r="M22" s="41"/>
      <c r="N22" s="41"/>
      <c r="O22" s="43"/>
      <c r="P22" s="44"/>
      <c r="Q22" s="44"/>
      <c r="R22" s="51">
        <v>2024680010179</v>
      </c>
      <c r="S22" s="53" t="s">
        <v>159</v>
      </c>
      <c r="T22" s="63"/>
      <c r="U22" s="63">
        <v>602672335</v>
      </c>
      <c r="V22" s="43" t="s">
        <v>195</v>
      </c>
      <c r="W22" s="43"/>
      <c r="X22" s="43"/>
      <c r="Y22" s="53" t="s">
        <v>196</v>
      </c>
      <c r="Z22" s="27">
        <f>Tabla1[[#This Row],[Valor Vigencia Proyecto]]</f>
        <v>602672335</v>
      </c>
      <c r="AA22" s="45"/>
      <c r="AB22" s="45"/>
      <c r="AC22" s="32"/>
      <c r="AD22" s="32"/>
      <c r="AE22" s="32"/>
      <c r="AF22" s="32"/>
      <c r="AG22" s="32"/>
      <c r="AH22" s="32"/>
      <c r="AI22" s="32"/>
      <c r="AJ22" s="32"/>
      <c r="AK22" s="32"/>
      <c r="AL22" s="32"/>
      <c r="AM22" s="45"/>
      <c r="AN22" s="26">
        <f>SUM(Tabla1[[#This Row],[Recursos propios 2024]:[Otros 2024]])</f>
        <v>602672335</v>
      </c>
      <c r="AO22" s="45">
        <v>602659724</v>
      </c>
      <c r="AP22" s="45"/>
      <c r="AQ22" s="45"/>
      <c r="AR22" s="32"/>
      <c r="AS22" s="32"/>
      <c r="AT22" s="32"/>
      <c r="AU22" s="32"/>
      <c r="AV22" s="32"/>
      <c r="AW22" s="32"/>
      <c r="AX22" s="32"/>
      <c r="AY22" s="32"/>
      <c r="AZ22" s="32"/>
      <c r="BA22" s="32"/>
      <c r="BB22" s="45"/>
      <c r="BC22" s="26">
        <f>SUM(Tabla1[[#This Row],[Recursos propios 20242]:[Otros 202415]])</f>
        <v>602659724</v>
      </c>
      <c r="BD22" s="24">
        <f>+Tabla1[[#This Row],[Total Comprometido 2024]]/Tabla1[[#This Row],[Total 2024]]</f>
        <v>0.9999790748649513</v>
      </c>
      <c r="BE22" s="70">
        <f>Tabla1[[#This Row],[Total Recursos Pagados]]</f>
        <v>0</v>
      </c>
      <c r="BF22" s="32"/>
      <c r="BG22" s="45"/>
      <c r="BH22" s="41"/>
      <c r="BI22" s="41"/>
      <c r="BJ22" s="41"/>
    </row>
    <row r="23" spans="1:62" s="33" customFormat="1" ht="45">
      <c r="A23" s="41"/>
      <c r="B23" s="41"/>
      <c r="C23" s="41"/>
      <c r="D23" s="41"/>
      <c r="E23" s="41"/>
      <c r="F23" s="41"/>
      <c r="G23" s="41"/>
      <c r="H23" s="41"/>
      <c r="I23" s="41"/>
      <c r="J23" s="41"/>
      <c r="K23" s="41"/>
      <c r="L23" s="41"/>
      <c r="M23" s="41"/>
      <c r="N23" s="41"/>
      <c r="O23" s="43"/>
      <c r="P23" s="44"/>
      <c r="Q23" s="44"/>
      <c r="R23" s="51">
        <v>2024680010246</v>
      </c>
      <c r="S23" s="43" t="s">
        <v>170</v>
      </c>
      <c r="T23" s="63"/>
      <c r="U23" s="63">
        <v>337590000</v>
      </c>
      <c r="V23" s="43" t="s">
        <v>210</v>
      </c>
      <c r="W23" s="43" t="s">
        <v>211</v>
      </c>
      <c r="X23" s="43">
        <v>500</v>
      </c>
      <c r="Y23" s="53" t="s">
        <v>212</v>
      </c>
      <c r="Z23" s="27">
        <f>Tabla1[[#This Row],[Valor Vigencia Proyecto]]</f>
        <v>337590000</v>
      </c>
      <c r="AA23" s="45"/>
      <c r="AB23" s="45"/>
      <c r="AC23" s="32"/>
      <c r="AD23" s="32"/>
      <c r="AE23" s="32"/>
      <c r="AF23" s="32"/>
      <c r="AG23" s="32"/>
      <c r="AH23" s="32"/>
      <c r="AI23" s="32"/>
      <c r="AJ23" s="32"/>
      <c r="AK23" s="32"/>
      <c r="AL23" s="32"/>
      <c r="AM23" s="45"/>
      <c r="AN23" s="26">
        <f>SUM(Tabla1[[#This Row],[Recursos propios 2024]:[Otros 2024]])</f>
        <v>337590000</v>
      </c>
      <c r="AO23" s="45">
        <v>337590000</v>
      </c>
      <c r="AP23" s="45"/>
      <c r="AQ23" s="45"/>
      <c r="AR23" s="32"/>
      <c r="AS23" s="32"/>
      <c r="AT23" s="32"/>
      <c r="AU23" s="32"/>
      <c r="AV23" s="32"/>
      <c r="AW23" s="32"/>
      <c r="AX23" s="32"/>
      <c r="AY23" s="32"/>
      <c r="AZ23" s="32"/>
      <c r="BA23" s="32"/>
      <c r="BB23" s="45"/>
      <c r="BC23" s="26">
        <f>SUM(Tabla1[[#This Row],[Recursos propios 20242]:[Otros 202415]])</f>
        <v>337590000</v>
      </c>
      <c r="BD23" s="24">
        <f>+Tabla1[[#This Row],[Total Comprometido 2024]]/Tabla1[[#This Row],[Total 2024]]</f>
        <v>1</v>
      </c>
      <c r="BE23" s="70">
        <f>Tabla1[[#This Row],[Total Recursos Pagados]]</f>
        <v>0</v>
      </c>
      <c r="BF23" s="32"/>
      <c r="BG23" s="45"/>
      <c r="BH23" s="41"/>
      <c r="BI23" s="41"/>
      <c r="BJ23" s="41"/>
    </row>
    <row r="24" spans="1:62" s="33" customFormat="1" ht="300">
      <c r="A24" s="37">
        <v>144</v>
      </c>
      <c r="B24" s="37" t="s">
        <v>95</v>
      </c>
      <c r="C24" s="37" t="s">
        <v>75</v>
      </c>
      <c r="D24" s="37" t="s">
        <v>111</v>
      </c>
      <c r="E24" s="37" t="s">
        <v>112</v>
      </c>
      <c r="F24" s="37" t="s">
        <v>113</v>
      </c>
      <c r="G24" s="37" t="s">
        <v>114</v>
      </c>
      <c r="H24" s="37">
        <v>330200200</v>
      </c>
      <c r="I24" s="37" t="s">
        <v>115</v>
      </c>
      <c r="J24" s="38">
        <v>1</v>
      </c>
      <c r="K24" s="37" t="s">
        <v>81</v>
      </c>
      <c r="L24" s="37" t="s">
        <v>135</v>
      </c>
      <c r="M24" s="38">
        <v>2</v>
      </c>
      <c r="N24" s="37">
        <v>0.25</v>
      </c>
      <c r="O24" s="30">
        <v>0.25</v>
      </c>
      <c r="P24" s="31">
        <f>+Tabla1[[#This Row],[Meta Ejecutada Vigencia4]]/Tabla1[[#This Row],[Meta Programada Vigencia]]</f>
        <v>1</v>
      </c>
      <c r="Q24" s="31">
        <f>+Tabla1[[#This Row],[Meta Ejecutada Vigencia4]]/Tabla1[[#This Row],[Meta Programada Cuatrienio3]]</f>
        <v>0.125</v>
      </c>
      <c r="R24" s="50">
        <v>2024680010150</v>
      </c>
      <c r="S24" s="34" t="s">
        <v>160</v>
      </c>
      <c r="T24" s="62">
        <v>10583034212.719999</v>
      </c>
      <c r="U24" s="62">
        <v>160000000</v>
      </c>
      <c r="V24" s="34" t="s">
        <v>206</v>
      </c>
      <c r="W24" s="30" t="s">
        <v>181</v>
      </c>
      <c r="X24" s="34" t="s">
        <v>207</v>
      </c>
      <c r="Y24" s="34" t="s">
        <v>205</v>
      </c>
      <c r="Z24" s="27">
        <f>Tabla1[[#This Row],[Valor Vigencia Proyecto]]</f>
        <v>160000000</v>
      </c>
      <c r="AA24" s="27"/>
      <c r="AB24" s="27"/>
      <c r="AC24" s="27"/>
      <c r="AD24" s="27"/>
      <c r="AE24" s="27"/>
      <c r="AF24" s="27"/>
      <c r="AG24" s="27"/>
      <c r="AH24" s="27"/>
      <c r="AI24" s="27"/>
      <c r="AJ24" s="27"/>
      <c r="AK24" s="27"/>
      <c r="AL24" s="27"/>
      <c r="AM24" s="27"/>
      <c r="AN24" s="26">
        <f>SUM(Tabla1[[#This Row],[Recursos propios 2024]:[Otros 2024]])</f>
        <v>160000000</v>
      </c>
      <c r="AO24" s="73">
        <v>117802600.33</v>
      </c>
      <c r="AP24" s="27"/>
      <c r="AQ24" s="27"/>
      <c r="AR24" s="27"/>
      <c r="AS24" s="27"/>
      <c r="AT24" s="27"/>
      <c r="AU24" s="27"/>
      <c r="AV24" s="27"/>
      <c r="AW24" s="27"/>
      <c r="AX24" s="27"/>
      <c r="AY24" s="27"/>
      <c r="AZ24" s="27"/>
      <c r="BA24" s="27"/>
      <c r="BB24" s="27"/>
      <c r="BC24" s="26">
        <f>SUM(Tabla1[[#This Row],[Recursos propios 20242]:[Otros 202415]])</f>
        <v>117802600.33</v>
      </c>
      <c r="BD24" s="24">
        <f>+Tabla1[[#This Row],[Total Comprometido 2024]]/Tabla1[[#This Row],[Total 2024]]</f>
        <v>0.73626625206249996</v>
      </c>
      <c r="BE24" s="70">
        <f>Tabla1[[#This Row],[Total Recursos Pagados]]</f>
        <v>96035934.329999998</v>
      </c>
      <c r="BF24" s="69">
        <v>96035934.329999998</v>
      </c>
      <c r="BG24" s="27"/>
      <c r="BH24" s="37" t="s">
        <v>140</v>
      </c>
      <c r="BI24" s="28" t="s">
        <v>141</v>
      </c>
      <c r="BJ24" s="37">
        <v>11</v>
      </c>
    </row>
    <row r="25" spans="1:62" s="33" customFormat="1" ht="360">
      <c r="A25" s="37">
        <v>146</v>
      </c>
      <c r="B25" s="37" t="s">
        <v>95</v>
      </c>
      <c r="C25" s="37" t="s">
        <v>75</v>
      </c>
      <c r="D25" s="37" t="s">
        <v>111</v>
      </c>
      <c r="E25" s="37" t="s">
        <v>112</v>
      </c>
      <c r="F25" s="37" t="s">
        <v>116</v>
      </c>
      <c r="G25" s="37" t="s">
        <v>117</v>
      </c>
      <c r="H25" s="37">
        <v>330204900</v>
      </c>
      <c r="I25" s="37" t="s">
        <v>118</v>
      </c>
      <c r="J25" s="38">
        <v>0</v>
      </c>
      <c r="K25" s="37" t="s">
        <v>81</v>
      </c>
      <c r="L25" s="37" t="s">
        <v>135</v>
      </c>
      <c r="M25" s="38">
        <v>1</v>
      </c>
      <c r="N25" s="37">
        <v>1</v>
      </c>
      <c r="O25" s="34">
        <v>1</v>
      </c>
      <c r="P25" s="35">
        <f>+Tabla1[[#This Row],[Meta Ejecutada Vigencia4]]/Tabla1[[#This Row],[Meta Programada Vigencia]]</f>
        <v>1</v>
      </c>
      <c r="Q25" s="35">
        <f>+Tabla1[[#This Row],[Meta Ejecutada Vigencia4]]/Tabla1[[#This Row],[Meta Programada Cuatrienio3]]</f>
        <v>1</v>
      </c>
      <c r="R25" s="52">
        <v>2024680010150</v>
      </c>
      <c r="S25" s="34" t="s">
        <v>160</v>
      </c>
      <c r="T25" s="64"/>
      <c r="U25" s="64">
        <v>28750000</v>
      </c>
      <c r="V25" s="34" t="s">
        <v>161</v>
      </c>
      <c r="W25" s="34" t="s">
        <v>162</v>
      </c>
      <c r="X25" s="34"/>
      <c r="Y25" s="34"/>
      <c r="Z25" s="27">
        <f>Tabla1[[#This Row],[Valor Vigencia Proyecto]]</f>
        <v>28750000</v>
      </c>
      <c r="AA25" s="36"/>
      <c r="AB25" s="36"/>
      <c r="AC25" s="36"/>
      <c r="AD25" s="36"/>
      <c r="AE25" s="36"/>
      <c r="AF25" s="36"/>
      <c r="AG25" s="36"/>
      <c r="AH25" s="36"/>
      <c r="AI25" s="36"/>
      <c r="AJ25" s="36"/>
      <c r="AK25" s="36"/>
      <c r="AL25" s="36"/>
      <c r="AM25" s="36"/>
      <c r="AN25" s="26">
        <f>SUM(Tabla1[[#This Row],[Recursos propios 2024]:[Otros 2024]])</f>
        <v>28750000</v>
      </c>
      <c r="AO25" s="68">
        <v>25908334</v>
      </c>
      <c r="AP25" s="36"/>
      <c r="AQ25" s="36"/>
      <c r="AR25" s="36"/>
      <c r="AS25" s="36"/>
      <c r="AT25" s="36"/>
      <c r="AU25" s="36"/>
      <c r="AV25" s="36"/>
      <c r="AW25" s="36"/>
      <c r="AX25" s="36"/>
      <c r="AY25" s="36"/>
      <c r="AZ25" s="36"/>
      <c r="BA25" s="36"/>
      <c r="BB25" s="36"/>
      <c r="BC25" s="26">
        <f>SUM(Tabla1[[#This Row],[Recursos propios 20242]:[Otros 202415]])</f>
        <v>25908334</v>
      </c>
      <c r="BD25" s="24">
        <f>+Tabla1[[#This Row],[Total Comprometido 2024]]/Tabla1[[#This Row],[Total 2024]]</f>
        <v>0.90115944347826082</v>
      </c>
      <c r="BE25" s="70">
        <f>Tabla1[[#This Row],[Total Recursos Pagados]]</f>
        <v>5750000</v>
      </c>
      <c r="BF25" s="69">
        <v>5750000</v>
      </c>
      <c r="BG25" s="36"/>
      <c r="BH25" s="37" t="s">
        <v>140</v>
      </c>
      <c r="BI25" s="28" t="s">
        <v>141</v>
      </c>
      <c r="BJ25" s="37">
        <v>11</v>
      </c>
    </row>
    <row r="26" spans="1:62" s="33" customFormat="1" ht="234">
      <c r="A26" s="39">
        <v>147</v>
      </c>
      <c r="B26" s="39" t="s">
        <v>95</v>
      </c>
      <c r="C26" s="39" t="s">
        <v>75</v>
      </c>
      <c r="D26" s="39" t="s">
        <v>111</v>
      </c>
      <c r="E26" s="39" t="s">
        <v>112</v>
      </c>
      <c r="F26" s="39" t="s">
        <v>119</v>
      </c>
      <c r="G26" s="39" t="s">
        <v>120</v>
      </c>
      <c r="H26" s="39">
        <v>330205100</v>
      </c>
      <c r="I26" s="39" t="s">
        <v>121</v>
      </c>
      <c r="J26" s="39">
        <v>24</v>
      </c>
      <c r="K26" s="39" t="s">
        <v>81</v>
      </c>
      <c r="L26" s="39" t="s">
        <v>135</v>
      </c>
      <c r="M26" s="39">
        <v>50</v>
      </c>
      <c r="N26" s="39">
        <v>3</v>
      </c>
      <c r="O26" s="30">
        <v>1</v>
      </c>
      <c r="P26" s="31">
        <f>+Tabla1[[#This Row],[Meta Ejecutada Vigencia4]]/Tabla1[[#This Row],[Meta Programada Vigencia]]</f>
        <v>0.33333333333333331</v>
      </c>
      <c r="Q26" s="31">
        <f>+Tabla1[[#This Row],[Meta Ejecutada Vigencia4]]/Tabla1[[#This Row],[Meta Programada Cuatrienio3]]</f>
        <v>0.02</v>
      </c>
      <c r="R26" s="54">
        <v>2024680010150</v>
      </c>
      <c r="S26" s="55" t="s">
        <v>163</v>
      </c>
      <c r="T26" s="65"/>
      <c r="U26" s="66">
        <v>1336348300</v>
      </c>
      <c r="V26" s="85" t="s">
        <v>209</v>
      </c>
      <c r="W26" s="30" t="s">
        <v>181</v>
      </c>
      <c r="X26" s="30">
        <v>895</v>
      </c>
      <c r="Y26" s="34" t="s">
        <v>208</v>
      </c>
      <c r="Z26" s="27">
        <f>Tabla1[[#This Row],[Valor Vigencia Proyecto]]</f>
        <v>1336348300</v>
      </c>
      <c r="AA26" s="27"/>
      <c r="AB26" s="27"/>
      <c r="AC26" s="27"/>
      <c r="AD26" s="27"/>
      <c r="AE26" s="27"/>
      <c r="AF26" s="27"/>
      <c r="AG26" s="27"/>
      <c r="AH26" s="27"/>
      <c r="AI26" s="27"/>
      <c r="AJ26" s="27"/>
      <c r="AK26" s="27"/>
      <c r="AL26" s="27"/>
      <c r="AM26" s="27"/>
      <c r="AN26" s="26">
        <f>SUM(Tabla1[[#This Row],[Recursos propios 2024]:[Otros 2024]])</f>
        <v>1336348300</v>
      </c>
      <c r="AO26" s="73">
        <v>1266248300</v>
      </c>
      <c r="AP26" s="27"/>
      <c r="AQ26" s="27"/>
      <c r="AR26" s="27"/>
      <c r="AS26" s="27"/>
      <c r="AT26" s="27"/>
      <c r="AU26" s="27"/>
      <c r="AV26" s="27"/>
      <c r="AW26" s="27"/>
      <c r="AX26" s="27"/>
      <c r="AY26" s="27"/>
      <c r="AZ26" s="27"/>
      <c r="BA26" s="27"/>
      <c r="BB26" s="27"/>
      <c r="BC26" s="26">
        <f>SUM(Tabla1[[#This Row],[Recursos propios 20242]:[Otros 202415]])</f>
        <v>1266248300</v>
      </c>
      <c r="BD26" s="24">
        <f>+Tabla1[[#This Row],[Total Comprometido 2024]]/Tabla1[[#This Row],[Total 2024]]</f>
        <v>0.9475436156876168</v>
      </c>
      <c r="BE26" s="70">
        <f>Tabla1[[#This Row],[Total Recursos Pagados]]</f>
        <v>580463569.76999998</v>
      </c>
      <c r="BF26" s="69">
        <v>580463569.76999998</v>
      </c>
      <c r="BG26" s="27"/>
      <c r="BH26" s="39" t="s">
        <v>140</v>
      </c>
      <c r="BI26" s="28" t="s">
        <v>141</v>
      </c>
      <c r="BJ26" s="39">
        <v>11</v>
      </c>
    </row>
    <row r="27" spans="1:62" s="33" customFormat="1" ht="99.75">
      <c r="A27" s="41"/>
      <c r="B27" s="41"/>
      <c r="C27" s="41"/>
      <c r="D27" s="41"/>
      <c r="E27" s="41"/>
      <c r="F27" s="41"/>
      <c r="G27" s="41"/>
      <c r="H27" s="41"/>
      <c r="I27" s="41"/>
      <c r="J27" s="41"/>
      <c r="K27" s="41"/>
      <c r="L27" s="41"/>
      <c r="M27" s="41"/>
      <c r="N27" s="41"/>
      <c r="O27" s="43"/>
      <c r="P27" s="44" t="e">
        <f>+Tabla1[[#This Row],[Meta Ejecutada Vigencia4]]/Tabla1[[#This Row],[Meta Programada Vigencia]]</f>
        <v>#DIV/0!</v>
      </c>
      <c r="Q27" s="44" t="e">
        <f>+Tabla1[[#This Row],[Meta Ejecutada Vigencia4]]/Tabla1[[#This Row],[Meta Programada Cuatrienio3]]</f>
        <v>#DIV/0!</v>
      </c>
      <c r="R27" s="57">
        <v>2024680010187</v>
      </c>
      <c r="S27" s="55" t="s">
        <v>164</v>
      </c>
      <c r="T27" s="66"/>
      <c r="U27" s="66">
        <v>387199556.48000002</v>
      </c>
      <c r="V27" s="43" t="s">
        <v>197</v>
      </c>
      <c r="W27" s="43" t="s">
        <v>162</v>
      </c>
      <c r="X27" s="43">
        <v>300</v>
      </c>
      <c r="Y27" s="53" t="s">
        <v>198</v>
      </c>
      <c r="Z27" s="27">
        <f>Tabla1[[#This Row],[Valor Vigencia Proyecto]]</f>
        <v>387199556.48000002</v>
      </c>
      <c r="AA27" s="45"/>
      <c r="AB27" s="45"/>
      <c r="AC27" s="32"/>
      <c r="AD27" s="32"/>
      <c r="AE27" s="32"/>
      <c r="AF27" s="32"/>
      <c r="AG27" s="32"/>
      <c r="AH27" s="32"/>
      <c r="AI27" s="32"/>
      <c r="AJ27" s="32"/>
      <c r="AK27" s="32"/>
      <c r="AL27" s="32"/>
      <c r="AM27" s="45"/>
      <c r="AN27" s="26">
        <f>SUM(Tabla1[[#This Row],[Recursos propios 2024]:[Otros 2024]])</f>
        <v>387199556.48000002</v>
      </c>
      <c r="AO27" s="45">
        <v>258217619</v>
      </c>
      <c r="AP27" s="45"/>
      <c r="AQ27" s="45"/>
      <c r="AR27" s="32"/>
      <c r="AS27" s="32"/>
      <c r="AT27" s="32"/>
      <c r="AU27" s="32"/>
      <c r="AV27" s="32"/>
      <c r="AW27" s="32"/>
      <c r="AX27" s="32"/>
      <c r="AY27" s="32"/>
      <c r="AZ27" s="32"/>
      <c r="BA27" s="32"/>
      <c r="BB27" s="45"/>
      <c r="BC27" s="26">
        <f>SUM(Tabla1[[#This Row],[Recursos propios 20242]:[Otros 202415]])</f>
        <v>258217619</v>
      </c>
      <c r="BD27" s="24">
        <f>+Tabla1[[#This Row],[Total Comprometido 2024]]/Tabla1[[#This Row],[Total 2024]]</f>
        <v>0.66688511047749011</v>
      </c>
      <c r="BE27" s="70">
        <f>Tabla1[[#This Row],[Total Recursos Pagados]]</f>
        <v>0</v>
      </c>
      <c r="BF27" s="32"/>
      <c r="BG27" s="45"/>
      <c r="BH27" s="41"/>
      <c r="BI27" s="41"/>
      <c r="BJ27" s="41"/>
    </row>
    <row r="28" spans="1:62" s="33" customFormat="1" ht="126">
      <c r="A28" s="37">
        <v>148</v>
      </c>
      <c r="B28" s="37" t="s">
        <v>95</v>
      </c>
      <c r="C28" s="37" t="s">
        <v>75</v>
      </c>
      <c r="D28" s="37" t="s">
        <v>76</v>
      </c>
      <c r="E28" s="37" t="s">
        <v>77</v>
      </c>
      <c r="F28" s="37" t="s">
        <v>122</v>
      </c>
      <c r="G28" s="37" t="s">
        <v>123</v>
      </c>
      <c r="H28" s="37">
        <v>330106100</v>
      </c>
      <c r="I28" s="37" t="s">
        <v>124</v>
      </c>
      <c r="J28" s="38">
        <v>13</v>
      </c>
      <c r="K28" s="37" t="s">
        <v>81</v>
      </c>
      <c r="L28" s="37" t="s">
        <v>135</v>
      </c>
      <c r="M28" s="38">
        <v>300</v>
      </c>
      <c r="N28" s="37">
        <v>80</v>
      </c>
      <c r="O28" s="34">
        <v>80</v>
      </c>
      <c r="P28" s="35">
        <f>+Tabla1[[#This Row],[Meta Ejecutada Vigencia4]]/Tabla1[[#This Row],[Meta Programada Vigencia]]</f>
        <v>1</v>
      </c>
      <c r="Q28" s="31">
        <f>+Tabla1[[#This Row],[Meta Ejecutada Vigencia4]]/Tabla1[[#This Row],[Meta Programada Cuatrienio3]]</f>
        <v>0.26666666666666666</v>
      </c>
      <c r="R28" s="54">
        <v>2024680010175</v>
      </c>
      <c r="S28" s="55" t="s">
        <v>165</v>
      </c>
      <c r="T28" s="66">
        <v>61599145</v>
      </c>
      <c r="U28" s="66">
        <v>10000000</v>
      </c>
      <c r="V28" s="34"/>
      <c r="W28" s="34" t="s">
        <v>200</v>
      </c>
      <c r="X28" s="34">
        <v>19</v>
      </c>
      <c r="Y28" s="34" t="s">
        <v>199</v>
      </c>
      <c r="Z28" s="27">
        <f>Tabla1[[#This Row],[Valor Vigencia Proyecto]]</f>
        <v>10000000</v>
      </c>
      <c r="AA28" s="36"/>
      <c r="AB28" s="36"/>
      <c r="AC28" s="36"/>
      <c r="AD28" s="36"/>
      <c r="AE28" s="36"/>
      <c r="AF28" s="36"/>
      <c r="AG28" s="36"/>
      <c r="AH28" s="36"/>
      <c r="AI28" s="36"/>
      <c r="AJ28" s="36"/>
      <c r="AK28" s="36"/>
      <c r="AL28" s="36"/>
      <c r="AM28" s="36"/>
      <c r="AN28" s="26">
        <f>SUM(Tabla1[[#This Row],[Recursos propios 2024]:[Otros 2024]])</f>
        <v>10000000</v>
      </c>
      <c r="AO28" s="36">
        <v>6300000</v>
      </c>
      <c r="AP28" s="36"/>
      <c r="AQ28" s="36"/>
      <c r="AR28" s="36"/>
      <c r="AS28" s="36"/>
      <c r="AT28" s="36"/>
      <c r="AU28" s="36"/>
      <c r="AV28" s="36"/>
      <c r="AW28" s="36"/>
      <c r="AX28" s="36"/>
      <c r="AY28" s="36"/>
      <c r="AZ28" s="36"/>
      <c r="BA28" s="36"/>
      <c r="BB28" s="36"/>
      <c r="BC28" s="26">
        <f>SUM(Tabla1[[#This Row],[Recursos propios 20242]:[Otros 202415]])</f>
        <v>6300000</v>
      </c>
      <c r="BD28" s="24">
        <f>+Tabla1[[#This Row],[Total Comprometido 2024]]/Tabla1[[#This Row],[Total 2024]]</f>
        <v>0.63</v>
      </c>
      <c r="BE28" s="70">
        <f>Tabla1[[#This Row],[Total Recursos Pagados]]</f>
        <v>6300000</v>
      </c>
      <c r="BF28" s="36">
        <v>6300000</v>
      </c>
      <c r="BG28" s="36"/>
      <c r="BH28" s="37" t="s">
        <v>140</v>
      </c>
      <c r="BI28" s="28" t="s">
        <v>141</v>
      </c>
      <c r="BJ28" s="37" t="s">
        <v>139</v>
      </c>
    </row>
    <row r="29" spans="1:62" s="33" customFormat="1" ht="126">
      <c r="A29" s="37">
        <v>242</v>
      </c>
      <c r="B29" s="37" t="s">
        <v>125</v>
      </c>
      <c r="C29" s="37" t="s">
        <v>126</v>
      </c>
      <c r="D29" s="37" t="s">
        <v>127</v>
      </c>
      <c r="E29" s="37" t="s">
        <v>128</v>
      </c>
      <c r="F29" s="37" t="s">
        <v>129</v>
      </c>
      <c r="G29" s="37" t="s">
        <v>130</v>
      </c>
      <c r="H29" s="37">
        <v>459903400</v>
      </c>
      <c r="I29" s="37" t="s">
        <v>131</v>
      </c>
      <c r="J29" s="38">
        <v>1</v>
      </c>
      <c r="K29" s="37" t="s">
        <v>81</v>
      </c>
      <c r="L29" s="37" t="s">
        <v>136</v>
      </c>
      <c r="M29" s="38">
        <v>1</v>
      </c>
      <c r="N29" s="37">
        <v>1</v>
      </c>
      <c r="O29" s="30">
        <v>0.25</v>
      </c>
      <c r="P29" s="31">
        <f>+Tabla1[[#This Row],[Meta Ejecutada Vigencia4]]/Tabla1[[#This Row],[Meta Programada Vigencia]]</f>
        <v>0.25</v>
      </c>
      <c r="Q29" s="31">
        <f>+Tabla1[[#This Row],[Meta Ejecutada Vigencia4]]/Tabla1[[#This Row],[Meta Programada Cuatrienio3]]</f>
        <v>0.25</v>
      </c>
      <c r="R29" s="54">
        <v>2024680010178</v>
      </c>
      <c r="S29" s="55" t="s">
        <v>166</v>
      </c>
      <c r="T29" s="66">
        <v>88798860</v>
      </c>
      <c r="U29" s="66">
        <v>20000000</v>
      </c>
      <c r="V29" s="30"/>
      <c r="W29" s="30" t="s">
        <v>202</v>
      </c>
      <c r="X29" s="30">
        <v>50</v>
      </c>
      <c r="Y29" s="34" t="s">
        <v>201</v>
      </c>
      <c r="Z29" s="27">
        <f>Tabla1[[#This Row],[Valor Vigencia Proyecto]]</f>
        <v>20000000</v>
      </c>
      <c r="AA29" s="27"/>
      <c r="AB29" s="27"/>
      <c r="AC29" s="27"/>
      <c r="AD29" s="27"/>
      <c r="AE29" s="27"/>
      <c r="AF29" s="27"/>
      <c r="AG29" s="27"/>
      <c r="AH29" s="27"/>
      <c r="AI29" s="27"/>
      <c r="AJ29" s="27"/>
      <c r="AK29" s="27"/>
      <c r="AL29" s="27"/>
      <c r="AM29" s="27"/>
      <c r="AN29" s="26">
        <f>SUM(Tabla1[[#This Row],[Recursos propios 2024]:[Otros 2024]])</f>
        <v>20000000</v>
      </c>
      <c r="AO29" s="27">
        <v>4500000</v>
      </c>
      <c r="AP29" s="27"/>
      <c r="AQ29" s="27"/>
      <c r="AR29" s="27"/>
      <c r="AS29" s="27"/>
      <c r="AT29" s="27"/>
      <c r="AU29" s="27"/>
      <c r="AV29" s="27"/>
      <c r="AW29" s="27"/>
      <c r="AX29" s="27"/>
      <c r="AY29" s="27"/>
      <c r="AZ29" s="27"/>
      <c r="BA29" s="27"/>
      <c r="BB29" s="27"/>
      <c r="BC29" s="26">
        <f>SUM(Tabla1[[#This Row],[Recursos propios 20242]:[Otros 202415]])</f>
        <v>4500000</v>
      </c>
      <c r="BD29" s="24">
        <f>+Tabla1[[#This Row],[Total Comprometido 2024]]/Tabla1[[#This Row],[Total 2024]]</f>
        <v>0.22500000000000001</v>
      </c>
      <c r="BE29" s="70">
        <f>Tabla1[[#This Row],[Total Recursos Pagados]]</f>
        <v>4500000</v>
      </c>
      <c r="BF29" s="27">
        <v>4500000</v>
      </c>
      <c r="BG29" s="27"/>
      <c r="BH29" s="37" t="s">
        <v>140</v>
      </c>
      <c r="BI29" s="28" t="s">
        <v>141</v>
      </c>
      <c r="BJ29" s="37">
        <v>16</v>
      </c>
    </row>
    <row r="30" spans="1:62" s="33" customFormat="1" ht="240">
      <c r="A30" s="39">
        <v>269</v>
      </c>
      <c r="B30" s="39" t="s">
        <v>95</v>
      </c>
      <c r="C30" s="39" t="s">
        <v>75</v>
      </c>
      <c r="D30" s="39" t="s">
        <v>76</v>
      </c>
      <c r="E30" s="39" t="s">
        <v>77</v>
      </c>
      <c r="F30" s="39" t="s">
        <v>132</v>
      </c>
      <c r="G30" s="39" t="s">
        <v>133</v>
      </c>
      <c r="H30" s="39">
        <v>330109900</v>
      </c>
      <c r="I30" s="39" t="s">
        <v>134</v>
      </c>
      <c r="J30" s="39">
        <v>2</v>
      </c>
      <c r="K30" s="39" t="s">
        <v>81</v>
      </c>
      <c r="L30" s="39" t="s">
        <v>136</v>
      </c>
      <c r="M30" s="39">
        <v>3</v>
      </c>
      <c r="N30" s="39">
        <v>3</v>
      </c>
      <c r="O30" s="34">
        <v>3</v>
      </c>
      <c r="P30" s="35">
        <f>+Tabla1[[#This Row],[Meta Ejecutada Vigencia4]]/Tabla1[[#This Row],[Meta Programada Vigencia]]</f>
        <v>1</v>
      </c>
      <c r="Q30" s="31">
        <f>+Tabla1[[#This Row],[Meta Ejecutada Vigencia4]]/Tabla1[[#This Row],[Meta Programada Cuatrienio3]]</f>
        <v>1</v>
      </c>
      <c r="R30" s="54">
        <v>2024680010114</v>
      </c>
      <c r="S30" s="55" t="s">
        <v>167</v>
      </c>
      <c r="T30" s="66">
        <v>4246768097</v>
      </c>
      <c r="U30" s="66">
        <v>764943497</v>
      </c>
      <c r="V30" s="34" t="s">
        <v>148</v>
      </c>
      <c r="W30" s="34" t="s">
        <v>203</v>
      </c>
      <c r="X30" s="34">
        <v>37</v>
      </c>
      <c r="Y30" s="34" t="s">
        <v>213</v>
      </c>
      <c r="Z30" s="27">
        <f>Tabla1[[#This Row],[Valor Vigencia Proyecto]]</f>
        <v>764943497</v>
      </c>
      <c r="AA30" s="36"/>
      <c r="AB30" s="36"/>
      <c r="AC30" s="36"/>
      <c r="AD30" s="36"/>
      <c r="AE30" s="36"/>
      <c r="AF30" s="36"/>
      <c r="AG30" s="36"/>
      <c r="AH30" s="36"/>
      <c r="AI30" s="36"/>
      <c r="AJ30" s="36"/>
      <c r="AK30" s="36"/>
      <c r="AL30" s="36"/>
      <c r="AM30" s="36"/>
      <c r="AN30" s="26">
        <f>SUM(Tabla1[[#This Row],[Recursos propios 2024]:[Otros 2024]])</f>
        <v>764943497</v>
      </c>
      <c r="AO30" s="36">
        <v>681412927</v>
      </c>
      <c r="AP30" s="36"/>
      <c r="AQ30" s="36"/>
      <c r="AR30" s="36"/>
      <c r="AS30" s="36"/>
      <c r="AT30" s="36"/>
      <c r="AU30" s="36"/>
      <c r="AV30" s="36"/>
      <c r="AW30" s="36"/>
      <c r="AX30" s="36"/>
      <c r="AY30" s="36"/>
      <c r="AZ30" s="36"/>
      <c r="BA30" s="36"/>
      <c r="BB30" s="36"/>
      <c r="BC30" s="26">
        <f>SUM(Tabla1[[#This Row],[Recursos propios 20242]:[Otros 202415]])</f>
        <v>681412927</v>
      </c>
      <c r="BD30" s="24">
        <f>+Tabla1[[#This Row],[Total Comprometido 2024]]/Tabla1[[#This Row],[Total 2024]]</f>
        <v>0.89080164701367481</v>
      </c>
      <c r="BE30" s="70">
        <f>Tabla1[[#This Row],[Total Recursos Pagados]]</f>
        <v>467227983</v>
      </c>
      <c r="BF30" s="36">
        <v>467227983</v>
      </c>
      <c r="BG30" s="36"/>
      <c r="BH30" s="39" t="s">
        <v>140</v>
      </c>
      <c r="BI30" s="28" t="s">
        <v>141</v>
      </c>
      <c r="BJ30" s="39">
        <v>4.0999999999999996</v>
      </c>
    </row>
    <row r="31" spans="1:62">
      <c r="A31" s="75"/>
      <c r="B31" s="75"/>
      <c r="C31" s="75"/>
      <c r="D31" s="75"/>
      <c r="E31" s="75"/>
      <c r="F31" s="75"/>
      <c r="G31" s="75"/>
      <c r="H31" s="75"/>
      <c r="I31" s="75"/>
      <c r="J31" s="75"/>
      <c r="K31" s="75"/>
      <c r="L31" s="75"/>
      <c r="M31" s="75"/>
      <c r="N31" s="75"/>
      <c r="O31" s="76"/>
      <c r="P31" s="79"/>
      <c r="Q31" s="79"/>
      <c r="R31" s="77"/>
      <c r="S31" s="76"/>
      <c r="T31" s="78">
        <f>SUBTOTAL(109,Tabla1[Valor del Proyecto])</f>
        <v>70753755107.779999</v>
      </c>
      <c r="U31" s="80">
        <f>SUBTOTAL(109,Tabla1[Valor Vigencia Proyecto])</f>
        <v>22626430869.549999</v>
      </c>
      <c r="V31" s="78">
        <f>SUBTOTAL(109,Tabla1[Comuna o Barrio Beneficiado])</f>
        <v>0</v>
      </c>
      <c r="W31" s="78">
        <f>SUBTOTAL(109,Tabla1[Población Beneficiada])</f>
        <v>0</v>
      </c>
      <c r="X31" s="78">
        <f>SUBTOTAL(109,Tabla1[Número de Beneficiarios])</f>
        <v>14857</v>
      </c>
      <c r="Y31" s="78">
        <f>SUBTOTAL(109,Tabla1[Actividades Realizadas])</f>
        <v>0</v>
      </c>
      <c r="Z31" s="81">
        <f>SUBTOTAL(109,Tabla1[Recursos propios 2024])</f>
        <v>22626430869.549999</v>
      </c>
      <c r="AA31" s="81">
        <f>SUBTOTAL(109,Tabla1[SGP Educación 2024])</f>
        <v>0</v>
      </c>
      <c r="AB31" s="81">
        <f>SUBTOTAL(109,Tabla1[SGP Salud 2024])</f>
        <v>0</v>
      </c>
      <c r="AC31" s="81">
        <f>SUBTOTAL(109,Tabla1[SGP Deporte 2024])</f>
        <v>0</v>
      </c>
      <c r="AD31" s="81">
        <f>SUBTOTAL(109,Tabla1[SGP Cultura 2024])</f>
        <v>0</v>
      </c>
      <c r="AE31" s="81">
        <f>SUBTOTAL(109,Tabla1[SGP Libre inversión 2024])</f>
        <v>0</v>
      </c>
      <c r="AF31" s="81">
        <f>SUBTOTAL(109,Tabla1[SGP Libre destinación 2024])</f>
        <v>0</v>
      </c>
      <c r="AG31" s="81">
        <f>SUBTOTAL(109,Tabla1[SGP Alimentación escolar 2024])</f>
        <v>0</v>
      </c>
      <c r="AH31" s="81">
        <f>SUBTOTAL(109,Tabla1[SGP Municipios río Magdalena 2024])</f>
        <v>0</v>
      </c>
      <c r="AI31" s="81">
        <f>SUBTOTAL(109,Tabla1[SGP APSB 2024])</f>
        <v>0</v>
      </c>
      <c r="AJ31" s="81">
        <f>SUBTOTAL(109,Tabla1[Crédito 2024])</f>
        <v>0</v>
      </c>
      <c r="AK31" s="81">
        <f>SUBTOTAL(109,Tabla1[Transferencias de capital - cofinanciación departamento 2024])</f>
        <v>0</v>
      </c>
      <c r="AL31" s="81">
        <f>SUBTOTAL(109,Tabla1[Transferencias de capital - cofinanciación nación 2024])</f>
        <v>0</v>
      </c>
      <c r="AM31" s="81">
        <f>SUBTOTAL(109,Tabla1[Otros 2024])</f>
        <v>0</v>
      </c>
      <c r="AN31" s="81">
        <f>SUBTOTAL(109,Tabla1[Total 2024])</f>
        <v>22626430869.549999</v>
      </c>
      <c r="AO31" s="81">
        <f>SUBTOTAL(109,Tabla1[Recursos propios 20242])</f>
        <v>19511707381.200001</v>
      </c>
      <c r="AP31" s="81">
        <f>SUBTOTAL(109,Tabla1[SGP Educación 20243])</f>
        <v>0</v>
      </c>
      <c r="AQ31" s="81">
        <f>SUBTOTAL(109,Tabla1[SGP Salud 20244])</f>
        <v>0</v>
      </c>
      <c r="AR31" s="81">
        <f>SUBTOTAL(109,Tabla1[SGP Deporte 20245])</f>
        <v>0</v>
      </c>
      <c r="AS31" s="81">
        <f>SUBTOTAL(109,Tabla1[SGP Cultura 20246])</f>
        <v>0</v>
      </c>
      <c r="AT31" s="81">
        <f>SUBTOTAL(109,Tabla1[SGP Libre inversión 20247])</f>
        <v>0</v>
      </c>
      <c r="AU31" s="81">
        <f>SUBTOTAL(109,Tabla1[SGP Libre destinación 20248])</f>
        <v>0</v>
      </c>
      <c r="AV31" s="81">
        <f>SUBTOTAL(109,Tabla1[SGP Alimentación escolar 20249])</f>
        <v>0</v>
      </c>
      <c r="AW31" s="81">
        <f>SUBTOTAL(109,Tabla1[SGP Municipios río Magdalena 202410])</f>
        <v>0</v>
      </c>
      <c r="AX31" s="81">
        <f>SUBTOTAL(109,Tabla1[SGP APSB 202411])</f>
        <v>0</v>
      </c>
      <c r="AY31" s="81">
        <f>SUBTOTAL(109,Tabla1[Crédito 202412])</f>
        <v>0</v>
      </c>
      <c r="AZ31" s="81">
        <f>SUBTOTAL(109,Tabla1[Transferencias de capital - cofinanciación departamento 202413])</f>
        <v>0</v>
      </c>
      <c r="BA31" s="81">
        <f>SUBTOTAL(109,Tabla1[Transferencias de capital - cofinanciación nación 202414])</f>
        <v>0</v>
      </c>
      <c r="BB31" s="81">
        <f>SUBTOTAL(109,Tabla1[Otros 202415])</f>
        <v>0</v>
      </c>
      <c r="BC31" s="81">
        <f>SUBTOTAL(109,Tabla1[Total Comprometido 2024])</f>
        <v>19511707381.200001</v>
      </c>
      <c r="BD31" s="82" t="s">
        <v>171</v>
      </c>
      <c r="BE31" s="83">
        <f>SUBTOTAL(109,Tabla1[Total Recursos Obligados])</f>
        <v>13577786911.17</v>
      </c>
      <c r="BF31" s="83">
        <f>SUBTOTAL(109,Tabla1[Total Recursos Pagados])</f>
        <v>13577786911.17</v>
      </c>
      <c r="BG31" s="76"/>
      <c r="BH31" s="75"/>
      <c r="BI31" s="75"/>
      <c r="BJ31" s="75"/>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Lina María Arenas Salazar</cp:lastModifiedBy>
  <dcterms:created xsi:type="dcterms:W3CDTF">2024-06-03T22:05:35Z</dcterms:created>
  <dcterms:modified xsi:type="dcterms:W3CDTF">2025-01-10T21:20:03Z</dcterms:modified>
</cp:coreProperties>
</file>